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50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4" r:id="rId13"/>
    <sheet name="Item14" sheetId="45" state="hidden" r:id="rId14"/>
    <sheet name="Item15" sheetId="46" state="hidden" r:id="rId15"/>
    <sheet name="Item16" sheetId="47" state="hidden" r:id="rId16"/>
    <sheet name="Item17" sheetId="48" state="hidden" r:id="rId17"/>
    <sheet name="Item18" sheetId="49" state="hidden" r:id="rId18"/>
    <sheet name="Item19" sheetId="50" state="hidden" r:id="rId19"/>
    <sheet name="Item20" sheetId="51" state="hidden" r:id="rId20"/>
    <sheet name="Item21" sheetId="52" state="hidden" r:id="rId21"/>
    <sheet name="Item22" sheetId="53" state="hidden" r:id="rId22"/>
    <sheet name="Item23" sheetId="54" state="hidden" r:id="rId23"/>
    <sheet name="Item24" sheetId="55" state="hidden" r:id="rId24"/>
    <sheet name="Item25" sheetId="56" state="hidden" r:id="rId25"/>
    <sheet name="Item26" sheetId="57" state="hidden" r:id="rId26"/>
    <sheet name="Item27" sheetId="58" state="hidden" r:id="rId27"/>
    <sheet name="Item28" sheetId="59" state="hidden" r:id="rId28"/>
    <sheet name="Item29" sheetId="60" state="hidden" r:id="rId29"/>
    <sheet name="Item30" sheetId="61" state="hidden" r:id="rId30"/>
    <sheet name="Item31" sheetId="62" state="hidden" r:id="rId31"/>
    <sheet name="Item32" sheetId="63" state="hidden" r:id="rId32"/>
    <sheet name="Item33" sheetId="64" state="hidden" r:id="rId33"/>
    <sheet name="Item34" sheetId="65" state="hidden" r:id="rId34"/>
    <sheet name="Item35" sheetId="66" state="hidden" r:id="rId35"/>
    <sheet name="Item36" sheetId="67" state="hidden" r:id="rId36"/>
    <sheet name="Item37" sheetId="68" state="hidden" r:id="rId37"/>
    <sheet name="Item38" sheetId="69" state="hidden" r:id="rId38"/>
    <sheet name="Item39" sheetId="22" state="hidden" r:id="rId39"/>
    <sheet name="Item40" sheetId="23" state="hidden" r:id="rId40"/>
    <sheet name="Item41" sheetId="24" state="hidden" r:id="rId41"/>
    <sheet name="Item42" sheetId="25" state="hidden" r:id="rId42"/>
    <sheet name="Item43" sheetId="26" state="hidden" r:id="rId43"/>
    <sheet name="Item44" sheetId="27" state="hidden" r:id="rId44"/>
    <sheet name="Item45" sheetId="28" state="hidden" r:id="rId45"/>
    <sheet name="Item46" sheetId="29" state="hidden" r:id="rId46"/>
    <sheet name="Item47" sheetId="30" state="hidden" r:id="rId47"/>
    <sheet name="Item48" sheetId="31" state="hidden" r:id="rId48"/>
    <sheet name="Item49" sheetId="32" state="hidden" r:id="rId49"/>
    <sheet name="Item50" sheetId="33" state="hidden" r:id="rId50"/>
    <sheet name="TOTAL" sheetId="5" r:id="rId51"/>
    <sheet name="menores" sheetId="6" r:id="rId52"/>
  </sheets>
  <definedNames>
    <definedName name="_xlnm.Print_Area" localSheetId="51">menores!$A$1:$F$29</definedName>
    <definedName name="_xlnm.Print_Area" localSheetId="50">TOTAL!$A$1:$F$23</definedName>
  </definedNames>
  <calcPr calcId="145621" iterateDelta="1E-4"/>
</workbook>
</file>

<file path=xl/calcChain.xml><?xml version="1.0" encoding="utf-8"?>
<calcChain xmlns="http://schemas.openxmlformats.org/spreadsheetml/2006/main">
  <c r="H10" i="41" l="1"/>
  <c r="H9" i="41"/>
  <c r="H7" i="75"/>
  <c r="H6" i="74"/>
  <c r="H11" i="74" l="1"/>
  <c r="H10" i="74"/>
  <c r="H9" i="74"/>
  <c r="H8" i="41" l="1"/>
  <c r="H7" i="41"/>
  <c r="H6" i="41"/>
  <c r="H5" i="41"/>
  <c r="H4" i="41"/>
  <c r="H3" i="41"/>
  <c r="H8" i="39"/>
  <c r="H7" i="39"/>
  <c r="H6" i="39"/>
  <c r="H5" i="39"/>
  <c r="H4" i="39"/>
  <c r="H3" i="39"/>
  <c r="H6" i="38"/>
  <c r="H4" i="75"/>
  <c r="H3" i="75"/>
  <c r="H8" i="74"/>
  <c r="H7" i="74"/>
  <c r="H5" i="74"/>
  <c r="H4" i="74"/>
  <c r="H3" i="74"/>
  <c r="C28" i="6" l="1"/>
  <c r="D28" i="6"/>
  <c r="B28" i="6"/>
  <c r="C26" i="6"/>
  <c r="D26" i="6"/>
  <c r="B26" i="6"/>
  <c r="C24" i="6"/>
  <c r="D24" i="6"/>
  <c r="B24" i="6"/>
  <c r="C22" i="6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22" i="5"/>
  <c r="D22" i="5"/>
  <c r="B22" i="5"/>
  <c r="C21" i="5"/>
  <c r="D21" i="5"/>
  <c r="B21" i="5"/>
  <c r="C20" i="5"/>
  <c r="D20" i="5"/>
  <c r="B20" i="5"/>
  <c r="C19" i="5"/>
  <c r="D19" i="5"/>
  <c r="B19" i="5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C11" i="5"/>
  <c r="D11" i="5"/>
  <c r="B11" i="5"/>
  <c r="C10" i="5"/>
  <c r="D10" i="5"/>
  <c r="B10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F3" i="75"/>
  <c r="E14" i="6" s="1"/>
  <c r="H20" i="74"/>
  <c r="G20" i="74" s="1"/>
  <c r="B11" i="6" s="1"/>
  <c r="F20" i="74"/>
  <c r="D20" i="74"/>
  <c r="B20" i="74"/>
  <c r="I17" i="74"/>
  <c r="I16" i="74"/>
  <c r="I15" i="74"/>
  <c r="I14" i="74"/>
  <c r="I13" i="74"/>
  <c r="I12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F3" i="73"/>
  <c r="E10" i="6" s="1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F3" i="70"/>
  <c r="E4" i="6" s="1"/>
  <c r="H20" i="69"/>
  <c r="G20" i="69" s="1"/>
  <c r="F20" i="69"/>
  <c r="D20" i="69"/>
  <c r="B20" i="69"/>
  <c r="I17" i="69"/>
  <c r="I16" i="69"/>
  <c r="I15" i="69"/>
  <c r="I14" i="69"/>
  <c r="I13" i="69"/>
  <c r="I12" i="69"/>
  <c r="I11" i="69"/>
  <c r="I10" i="69"/>
  <c r="I9" i="69"/>
  <c r="I8" i="69"/>
  <c r="I7" i="69"/>
  <c r="I6" i="69"/>
  <c r="F3" i="69"/>
  <c r="H20" i="68"/>
  <c r="G20" i="68"/>
  <c r="F20" i="68"/>
  <c r="D20" i="68"/>
  <c r="B20" i="68"/>
  <c r="A20" i="68"/>
  <c r="C20" i="68" s="1"/>
  <c r="I17" i="68"/>
  <c r="I16" i="68"/>
  <c r="I15" i="68"/>
  <c r="I14" i="68"/>
  <c r="I13" i="68"/>
  <c r="I12" i="68"/>
  <c r="I11" i="68"/>
  <c r="I10" i="68"/>
  <c r="I9" i="68"/>
  <c r="I8" i="68"/>
  <c r="I7" i="68"/>
  <c r="I6" i="68"/>
  <c r="F3" i="68"/>
  <c r="H20" i="67"/>
  <c r="G20" i="67" s="1"/>
  <c r="F20" i="67"/>
  <c r="D20" i="67"/>
  <c r="B20" i="67"/>
  <c r="I17" i="67"/>
  <c r="I16" i="67"/>
  <c r="I15" i="67"/>
  <c r="I14" i="67"/>
  <c r="I13" i="67"/>
  <c r="I12" i="67"/>
  <c r="I11" i="67"/>
  <c r="I10" i="67"/>
  <c r="I9" i="67"/>
  <c r="I8" i="67"/>
  <c r="I7" i="67"/>
  <c r="I6" i="67"/>
  <c r="F3" i="67"/>
  <c r="H20" i="66"/>
  <c r="G20" i="66"/>
  <c r="F20" i="66"/>
  <c r="D20" i="66"/>
  <c r="C20" i="66"/>
  <c r="I3" i="66" s="1"/>
  <c r="B20" i="66"/>
  <c r="A20" i="66"/>
  <c r="I17" i="66"/>
  <c r="I16" i="66"/>
  <c r="I15" i="66"/>
  <c r="I14" i="66"/>
  <c r="I13" i="66"/>
  <c r="I12" i="66"/>
  <c r="I11" i="66"/>
  <c r="I10" i="66"/>
  <c r="I9" i="66"/>
  <c r="I8" i="66"/>
  <c r="I7" i="66"/>
  <c r="I6" i="66"/>
  <c r="I4" i="66"/>
  <c r="F3" i="66"/>
  <c r="H20" i="65"/>
  <c r="G20" i="65" s="1"/>
  <c r="F20" i="65"/>
  <c r="D20" i="65"/>
  <c r="B20" i="65"/>
  <c r="I17" i="65"/>
  <c r="I16" i="65"/>
  <c r="I15" i="65"/>
  <c r="I14" i="65"/>
  <c r="I13" i="65"/>
  <c r="I12" i="65"/>
  <c r="I11" i="65"/>
  <c r="I10" i="65"/>
  <c r="I9" i="65"/>
  <c r="I8" i="65"/>
  <c r="I7" i="65"/>
  <c r="I6" i="65"/>
  <c r="F3" i="65"/>
  <c r="H20" i="64"/>
  <c r="G20" i="64"/>
  <c r="F20" i="64"/>
  <c r="D20" i="64"/>
  <c r="B20" i="64"/>
  <c r="A20" i="64"/>
  <c r="C20" i="64" s="1"/>
  <c r="I17" i="64"/>
  <c r="I16" i="64"/>
  <c r="I15" i="64"/>
  <c r="I14" i="64"/>
  <c r="I13" i="64"/>
  <c r="I12" i="64"/>
  <c r="I11" i="64"/>
  <c r="I10" i="64"/>
  <c r="I9" i="64"/>
  <c r="I8" i="64"/>
  <c r="I7" i="64"/>
  <c r="I6" i="64"/>
  <c r="F3" i="64"/>
  <c r="H20" i="63"/>
  <c r="G20" i="63" s="1"/>
  <c r="F20" i="63"/>
  <c r="D20" i="63"/>
  <c r="B20" i="63"/>
  <c r="I17" i="63"/>
  <c r="I16" i="63"/>
  <c r="I15" i="63"/>
  <c r="I14" i="63"/>
  <c r="I13" i="63"/>
  <c r="I12" i="63"/>
  <c r="I11" i="63"/>
  <c r="I10" i="63"/>
  <c r="I9" i="63"/>
  <c r="I8" i="63"/>
  <c r="I7" i="63"/>
  <c r="I6" i="63"/>
  <c r="F3" i="63"/>
  <c r="H20" i="62"/>
  <c r="G20" i="62"/>
  <c r="F20" i="62"/>
  <c r="D20" i="62"/>
  <c r="C20" i="62"/>
  <c r="I3" i="62" s="1"/>
  <c r="B20" i="62"/>
  <c r="A20" i="62"/>
  <c r="I17" i="62"/>
  <c r="I16" i="62"/>
  <c r="I15" i="62"/>
  <c r="I14" i="62"/>
  <c r="I13" i="62"/>
  <c r="I12" i="62"/>
  <c r="I11" i="62"/>
  <c r="I10" i="62"/>
  <c r="I9" i="62"/>
  <c r="I8" i="62"/>
  <c r="I7" i="62"/>
  <c r="I6" i="62"/>
  <c r="I4" i="62"/>
  <c r="F3" i="62"/>
  <c r="H20" i="61"/>
  <c r="G20" i="61" s="1"/>
  <c r="F20" i="61"/>
  <c r="D20" i="61"/>
  <c r="B20" i="61"/>
  <c r="I17" i="61"/>
  <c r="I16" i="61"/>
  <c r="I15" i="61"/>
  <c r="I14" i="61"/>
  <c r="I13" i="61"/>
  <c r="I12" i="61"/>
  <c r="I11" i="61"/>
  <c r="I10" i="61"/>
  <c r="I9" i="61"/>
  <c r="I8" i="61"/>
  <c r="I7" i="61"/>
  <c r="I6" i="61"/>
  <c r="F3" i="61"/>
  <c r="H20" i="60"/>
  <c r="G20" i="60"/>
  <c r="F20" i="60"/>
  <c r="D20" i="60"/>
  <c r="B20" i="60"/>
  <c r="A20" i="60"/>
  <c r="C20" i="60" s="1"/>
  <c r="I17" i="60"/>
  <c r="I16" i="60"/>
  <c r="I15" i="60"/>
  <c r="I14" i="60"/>
  <c r="I13" i="60"/>
  <c r="I12" i="60"/>
  <c r="I11" i="60"/>
  <c r="I10" i="60"/>
  <c r="I9" i="60"/>
  <c r="I8" i="60"/>
  <c r="I7" i="60"/>
  <c r="I6" i="60"/>
  <c r="F3" i="60"/>
  <c r="H20" i="59"/>
  <c r="G20" i="59" s="1"/>
  <c r="F20" i="59"/>
  <c r="D20" i="59"/>
  <c r="B20" i="59"/>
  <c r="I17" i="59"/>
  <c r="I16" i="59"/>
  <c r="I15" i="59"/>
  <c r="I14" i="59"/>
  <c r="I13" i="59"/>
  <c r="I12" i="59"/>
  <c r="I11" i="59"/>
  <c r="I10" i="59"/>
  <c r="I9" i="59"/>
  <c r="I8" i="59"/>
  <c r="I7" i="59"/>
  <c r="I6" i="59"/>
  <c r="F3" i="59"/>
  <c r="H20" i="58"/>
  <c r="G20" i="58"/>
  <c r="F20" i="58"/>
  <c r="D20" i="58"/>
  <c r="C20" i="58"/>
  <c r="I3" i="58" s="1"/>
  <c r="B20" i="58"/>
  <c r="A20" i="58"/>
  <c r="I17" i="58"/>
  <c r="I16" i="58"/>
  <c r="I15" i="58"/>
  <c r="I14" i="58"/>
  <c r="I13" i="58"/>
  <c r="I12" i="58"/>
  <c r="I11" i="58"/>
  <c r="I10" i="58"/>
  <c r="I9" i="58"/>
  <c r="I8" i="58"/>
  <c r="I7" i="58"/>
  <c r="I6" i="58"/>
  <c r="I4" i="58"/>
  <c r="F3" i="58"/>
  <c r="H20" i="57"/>
  <c r="G20" i="57" s="1"/>
  <c r="F20" i="57"/>
  <c r="D20" i="57"/>
  <c r="B20" i="57"/>
  <c r="I17" i="57"/>
  <c r="I16" i="57"/>
  <c r="I15" i="57"/>
  <c r="I14" i="57"/>
  <c r="I13" i="57"/>
  <c r="I12" i="57"/>
  <c r="I11" i="57"/>
  <c r="I10" i="57"/>
  <c r="I9" i="57"/>
  <c r="I8" i="57"/>
  <c r="I7" i="57"/>
  <c r="I6" i="57"/>
  <c r="F3" i="57"/>
  <c r="H20" i="56"/>
  <c r="G20" i="56"/>
  <c r="F20" i="56"/>
  <c r="D20" i="56"/>
  <c r="B20" i="56"/>
  <c r="A20" i="56"/>
  <c r="C20" i="56" s="1"/>
  <c r="I17" i="56"/>
  <c r="I16" i="56"/>
  <c r="I15" i="56"/>
  <c r="I14" i="56"/>
  <c r="I13" i="56"/>
  <c r="I12" i="56"/>
  <c r="I11" i="56"/>
  <c r="I10" i="56"/>
  <c r="I9" i="56"/>
  <c r="I8" i="56"/>
  <c r="I7" i="56"/>
  <c r="I6" i="56"/>
  <c r="F3" i="56"/>
  <c r="H20" i="55"/>
  <c r="G20" i="55" s="1"/>
  <c r="F20" i="55"/>
  <c r="D20" i="55"/>
  <c r="B20" i="55"/>
  <c r="I17" i="55"/>
  <c r="I16" i="55"/>
  <c r="I15" i="55"/>
  <c r="I14" i="55"/>
  <c r="I13" i="55"/>
  <c r="I12" i="55"/>
  <c r="I11" i="55"/>
  <c r="I10" i="55"/>
  <c r="I9" i="55"/>
  <c r="I8" i="55"/>
  <c r="I7" i="55"/>
  <c r="I6" i="55"/>
  <c r="F3" i="55"/>
  <c r="H20" i="54"/>
  <c r="G20" i="54"/>
  <c r="F20" i="54"/>
  <c r="D20" i="54"/>
  <c r="B20" i="54"/>
  <c r="I17" i="54"/>
  <c r="I16" i="54"/>
  <c r="I15" i="54"/>
  <c r="I14" i="54"/>
  <c r="I13" i="54"/>
  <c r="I12" i="54"/>
  <c r="I11" i="54"/>
  <c r="I10" i="54"/>
  <c r="I9" i="54"/>
  <c r="I8" i="54"/>
  <c r="I7" i="54"/>
  <c r="I6" i="54"/>
  <c r="F3" i="54"/>
  <c r="H20" i="53"/>
  <c r="G20" i="53" s="1"/>
  <c r="F20" i="53"/>
  <c r="D20" i="53"/>
  <c r="B20" i="53"/>
  <c r="I17" i="53"/>
  <c r="I16" i="53"/>
  <c r="I15" i="53"/>
  <c r="I14" i="53"/>
  <c r="I13" i="53"/>
  <c r="I12" i="53"/>
  <c r="I11" i="53"/>
  <c r="I10" i="53"/>
  <c r="I9" i="53"/>
  <c r="I8" i="53"/>
  <c r="I7" i="53"/>
  <c r="I6" i="53"/>
  <c r="F3" i="53"/>
  <c r="H20" i="52"/>
  <c r="G20" i="52" s="1"/>
  <c r="F20" i="52"/>
  <c r="D20" i="52"/>
  <c r="B20" i="52"/>
  <c r="I17" i="52"/>
  <c r="I16" i="52"/>
  <c r="I15" i="52"/>
  <c r="I14" i="52"/>
  <c r="I13" i="52"/>
  <c r="I12" i="52"/>
  <c r="I11" i="52"/>
  <c r="I10" i="52"/>
  <c r="I9" i="52"/>
  <c r="I8" i="52"/>
  <c r="I7" i="52"/>
  <c r="I6" i="52"/>
  <c r="F3" i="52"/>
  <c r="H20" i="51"/>
  <c r="G20" i="51" s="1"/>
  <c r="F20" i="51"/>
  <c r="D20" i="51"/>
  <c r="B20" i="51"/>
  <c r="I17" i="51"/>
  <c r="I16" i="51"/>
  <c r="I15" i="51"/>
  <c r="I14" i="51"/>
  <c r="I13" i="51"/>
  <c r="I12" i="51"/>
  <c r="I11" i="51"/>
  <c r="I10" i="51"/>
  <c r="I9" i="51"/>
  <c r="I8" i="51"/>
  <c r="I7" i="51"/>
  <c r="I6" i="51"/>
  <c r="F3" i="51"/>
  <c r="H20" i="50"/>
  <c r="G20" i="50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H20" i="49"/>
  <c r="G20" i="49" s="1"/>
  <c r="F20" i="49"/>
  <c r="D20" i="49"/>
  <c r="B20" i="49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H20" i="48"/>
  <c r="G20" i="48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H20" i="47"/>
  <c r="G20" i="47" s="1"/>
  <c r="F20" i="47"/>
  <c r="D20" i="47"/>
  <c r="B20" i="47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H20" i="46"/>
  <c r="G20" i="4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F3" i="46"/>
  <c r="H20" i="45"/>
  <c r="G20" i="45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I8" i="45"/>
  <c r="I7" i="45"/>
  <c r="I6" i="45"/>
  <c r="F3" i="45"/>
  <c r="H20" i="44"/>
  <c r="G20" i="44" s="1"/>
  <c r="B27" i="6" s="1"/>
  <c r="F20" i="44"/>
  <c r="D20" i="44"/>
  <c r="B20" i="44"/>
  <c r="I17" i="44"/>
  <c r="I16" i="44"/>
  <c r="I15" i="44"/>
  <c r="I14" i="44"/>
  <c r="I13" i="44"/>
  <c r="I12" i="44"/>
  <c r="I11" i="44"/>
  <c r="I10" i="44"/>
  <c r="I9" i="44"/>
  <c r="I8" i="44"/>
  <c r="F3" i="44"/>
  <c r="E28" i="6" s="1"/>
  <c r="H20" i="43"/>
  <c r="G20" i="43" s="1"/>
  <c r="B25" i="6" s="1"/>
  <c r="F20" i="43"/>
  <c r="D20" i="43"/>
  <c r="B20" i="43"/>
  <c r="I17" i="43"/>
  <c r="I16" i="43"/>
  <c r="I15" i="43"/>
  <c r="I14" i="43"/>
  <c r="I13" i="43"/>
  <c r="I12" i="43"/>
  <c r="I11" i="43"/>
  <c r="I10" i="43"/>
  <c r="I9" i="43"/>
  <c r="I8" i="43"/>
  <c r="I7" i="43"/>
  <c r="F3" i="43"/>
  <c r="E26" i="6" s="1"/>
  <c r="H20" i="42"/>
  <c r="G20" i="42" s="1"/>
  <c r="B23" i="6" s="1"/>
  <c r="F20" i="42"/>
  <c r="D20" i="42"/>
  <c r="B20" i="42"/>
  <c r="I17" i="42"/>
  <c r="I16" i="42"/>
  <c r="I15" i="42"/>
  <c r="I14" i="42"/>
  <c r="I13" i="42"/>
  <c r="I12" i="42"/>
  <c r="I11" i="42"/>
  <c r="I10" i="42"/>
  <c r="I9" i="42"/>
  <c r="I8" i="42"/>
  <c r="F3" i="42"/>
  <c r="E24" i="6" s="1"/>
  <c r="H20" i="41"/>
  <c r="G20" i="41" s="1"/>
  <c r="B21" i="6" s="1"/>
  <c r="F20" i="41"/>
  <c r="D20" i="41"/>
  <c r="B20" i="41"/>
  <c r="A20" i="41" s="1"/>
  <c r="I17" i="41"/>
  <c r="I16" i="41"/>
  <c r="I15" i="41"/>
  <c r="I14" i="41"/>
  <c r="I13" i="41"/>
  <c r="I12" i="41"/>
  <c r="F3" i="41"/>
  <c r="E22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F3" i="40"/>
  <c r="E20" i="6" s="1"/>
  <c r="H20" i="39"/>
  <c r="G20" i="39" s="1"/>
  <c r="B17" i="6" s="1"/>
  <c r="F20" i="39"/>
  <c r="D20" i="39"/>
  <c r="B20" i="39"/>
  <c r="A20" i="39" s="1"/>
  <c r="I17" i="39"/>
  <c r="I16" i="39"/>
  <c r="I15" i="39"/>
  <c r="I14" i="39"/>
  <c r="I13" i="39"/>
  <c r="I12" i="39"/>
  <c r="I11" i="39"/>
  <c r="I10" i="39"/>
  <c r="I9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F3" i="38"/>
  <c r="E16" i="6" s="1"/>
  <c r="H20" i="33"/>
  <c r="G20" i="33" s="1"/>
  <c r="F20" i="33"/>
  <c r="D20" i="33"/>
  <c r="B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 s="1"/>
  <c r="F20" i="31"/>
  <c r="D20" i="31"/>
  <c r="B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/>
  <c r="F20" i="30"/>
  <c r="D20" i="30"/>
  <c r="C20" i="30"/>
  <c r="I3" i="30" s="1"/>
  <c r="B20" i="30"/>
  <c r="A20" i="30"/>
  <c r="I17" i="30"/>
  <c r="I16" i="30"/>
  <c r="I15" i="30"/>
  <c r="I14" i="30"/>
  <c r="I13" i="30"/>
  <c r="I12" i="30"/>
  <c r="I11" i="30"/>
  <c r="I10" i="30"/>
  <c r="I9" i="30"/>
  <c r="I8" i="30"/>
  <c r="I7" i="30"/>
  <c r="I6" i="30"/>
  <c r="I4" i="30"/>
  <c r="F3" i="30"/>
  <c r="H20" i="29"/>
  <c r="G20" i="29" s="1"/>
  <c r="F20" i="29"/>
  <c r="D20" i="29"/>
  <c r="B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I17" i="27"/>
  <c r="I16" i="27"/>
  <c r="I15" i="27"/>
  <c r="I14" i="27"/>
  <c r="I13" i="27"/>
  <c r="I12" i="27"/>
  <c r="I11" i="27"/>
  <c r="I10" i="27"/>
  <c r="I9" i="27"/>
  <c r="I8" i="27"/>
  <c r="I7" i="27"/>
  <c r="I6" i="27"/>
  <c r="F3" i="27"/>
  <c r="H20" i="26"/>
  <c r="G20" i="26"/>
  <c r="F20" i="26"/>
  <c r="D20" i="26"/>
  <c r="C20" i="26"/>
  <c r="I3" i="26" s="1"/>
  <c r="B20" i="26"/>
  <c r="A20" i="26"/>
  <c r="I17" i="26"/>
  <c r="I16" i="26"/>
  <c r="I15" i="26"/>
  <c r="I14" i="26"/>
  <c r="I13" i="26"/>
  <c r="I12" i="26"/>
  <c r="I11" i="26"/>
  <c r="I10" i="26"/>
  <c r="I9" i="26"/>
  <c r="I8" i="26"/>
  <c r="I7" i="26"/>
  <c r="I6" i="26"/>
  <c r="I4" i="26"/>
  <c r="F3" i="26"/>
  <c r="H20" i="25"/>
  <c r="G20" i="25" s="1"/>
  <c r="F20" i="25"/>
  <c r="D20" i="25"/>
  <c r="B20" i="25"/>
  <c r="I17" i="25"/>
  <c r="I16" i="25"/>
  <c r="I15" i="25"/>
  <c r="I14" i="25"/>
  <c r="I13" i="25"/>
  <c r="I12" i="25"/>
  <c r="I11" i="25"/>
  <c r="I10" i="25"/>
  <c r="I9" i="25"/>
  <c r="I8" i="25"/>
  <c r="I7" i="25"/>
  <c r="I6" i="25"/>
  <c r="F3" i="25"/>
  <c r="H20" i="24"/>
  <c r="G20" i="24"/>
  <c r="F20" i="24"/>
  <c r="D20" i="24"/>
  <c r="B20" i="24"/>
  <c r="A20" i="24"/>
  <c r="C20" i="24" s="1"/>
  <c r="I17" i="24"/>
  <c r="I16" i="24"/>
  <c r="I15" i="24"/>
  <c r="I14" i="24"/>
  <c r="I13" i="24"/>
  <c r="I12" i="24"/>
  <c r="I11" i="24"/>
  <c r="I10" i="24"/>
  <c r="I9" i="24"/>
  <c r="I8" i="24"/>
  <c r="I7" i="24"/>
  <c r="I6" i="24"/>
  <c r="F3" i="24"/>
  <c r="H20" i="23"/>
  <c r="G20" i="23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F3" i="23"/>
  <c r="H20" i="22"/>
  <c r="G20" i="22"/>
  <c r="F20" i="22"/>
  <c r="D20" i="22"/>
  <c r="C20" i="22"/>
  <c r="I3" i="22" s="1"/>
  <c r="B20" i="22"/>
  <c r="A20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4" i="22"/>
  <c r="F3" i="22"/>
  <c r="C20" i="39" l="1"/>
  <c r="C20" i="71"/>
  <c r="C20" i="41"/>
  <c r="I11" i="41" s="1"/>
  <c r="C20" i="72"/>
  <c r="F16" i="6"/>
  <c r="F8" i="6"/>
  <c r="F28" i="6"/>
  <c r="F24" i="6"/>
  <c r="F6" i="6"/>
  <c r="F20" i="6"/>
  <c r="F12" i="6"/>
  <c r="F26" i="6"/>
  <c r="F22" i="6"/>
  <c r="F18" i="6"/>
  <c r="F14" i="6"/>
  <c r="F10" i="6"/>
  <c r="I3" i="72"/>
  <c r="A20" i="73"/>
  <c r="C20" i="73" s="1"/>
  <c r="I12" i="73" s="1"/>
  <c r="A20" i="75"/>
  <c r="C20" i="75" s="1"/>
  <c r="A20" i="70"/>
  <c r="C20" i="70" s="1"/>
  <c r="I8" i="70" s="1"/>
  <c r="A20" i="74"/>
  <c r="C20" i="74" s="1"/>
  <c r="C20" i="59"/>
  <c r="I5" i="60"/>
  <c r="I4" i="60"/>
  <c r="I3" i="60"/>
  <c r="E20" i="60" s="1"/>
  <c r="I5" i="68"/>
  <c r="I4" i="68"/>
  <c r="I3" i="68"/>
  <c r="E20" i="68" s="1"/>
  <c r="C20" i="55"/>
  <c r="I5" i="56"/>
  <c r="I4" i="56"/>
  <c r="I3" i="56"/>
  <c r="E20" i="56" s="1"/>
  <c r="I5" i="64"/>
  <c r="I4" i="64"/>
  <c r="I3" i="64"/>
  <c r="E20" i="64" s="1"/>
  <c r="A20" i="43"/>
  <c r="C20" i="43" s="1"/>
  <c r="I6" i="43" s="1"/>
  <c r="A20" i="47"/>
  <c r="C20" i="47" s="1"/>
  <c r="A20" i="51"/>
  <c r="C20" i="51" s="1"/>
  <c r="A20" i="55"/>
  <c r="E3" i="58"/>
  <c r="I5" i="58"/>
  <c r="A20" i="59"/>
  <c r="C20" i="61"/>
  <c r="I5" i="62"/>
  <c r="A20" i="63"/>
  <c r="C20" i="63" s="1"/>
  <c r="I5" i="66"/>
  <c r="A20" i="67"/>
  <c r="C20" i="67" s="1"/>
  <c r="A20" i="38"/>
  <c r="C20" i="38" s="1"/>
  <c r="A20" i="42"/>
  <c r="C20" i="42" s="1"/>
  <c r="A20" i="46"/>
  <c r="C20" i="46" s="1"/>
  <c r="A20" i="50"/>
  <c r="C20" i="50" s="1"/>
  <c r="A20" i="54"/>
  <c r="C20" i="54" s="1"/>
  <c r="E20" i="58"/>
  <c r="H22" i="58"/>
  <c r="H23" i="58" s="1"/>
  <c r="E20" i="62"/>
  <c r="E3" i="62" s="1"/>
  <c r="E20" i="66"/>
  <c r="E3" i="66" s="1"/>
  <c r="H22" i="66"/>
  <c r="H23" i="66" s="1"/>
  <c r="A20" i="45"/>
  <c r="C20" i="45" s="1"/>
  <c r="A20" i="49"/>
  <c r="C20" i="49" s="1"/>
  <c r="A20" i="53"/>
  <c r="C20" i="53" s="1"/>
  <c r="A20" i="57"/>
  <c r="C20" i="57" s="1"/>
  <c r="A20" i="61"/>
  <c r="A20" i="65"/>
  <c r="C20" i="65" s="1"/>
  <c r="A20" i="69"/>
  <c r="C20" i="69" s="1"/>
  <c r="A20" i="40"/>
  <c r="C20" i="40" s="1"/>
  <c r="I10" i="40" s="1"/>
  <c r="A20" i="44"/>
  <c r="C20" i="44" s="1"/>
  <c r="A20" i="48"/>
  <c r="C20" i="48" s="1"/>
  <c r="A20" i="52"/>
  <c r="C20" i="52" s="1"/>
  <c r="I5" i="24"/>
  <c r="I4" i="24"/>
  <c r="I3" i="24"/>
  <c r="E20" i="24" s="1"/>
  <c r="I5" i="28"/>
  <c r="I4" i="28"/>
  <c r="I3" i="28"/>
  <c r="E20" i="28" s="1"/>
  <c r="I5" i="32"/>
  <c r="I4" i="32"/>
  <c r="I3" i="32"/>
  <c r="E20" i="32" s="1"/>
  <c r="C20" i="23"/>
  <c r="I5" i="22"/>
  <c r="A20" i="23"/>
  <c r="I5" i="26"/>
  <c r="A20" i="27"/>
  <c r="C20" i="27" s="1"/>
  <c r="I5" i="30"/>
  <c r="A20" i="31"/>
  <c r="C20" i="31" s="1"/>
  <c r="E20" i="22"/>
  <c r="H22" i="22" s="1"/>
  <c r="H23" i="22" s="1"/>
  <c r="E20" i="26"/>
  <c r="E3" i="26" s="1"/>
  <c r="E20" i="30"/>
  <c r="E3" i="30" s="1"/>
  <c r="H22" i="30"/>
  <c r="H23" i="30" s="1"/>
  <c r="A20" i="25"/>
  <c r="C20" i="25" s="1"/>
  <c r="A20" i="29"/>
  <c r="C20" i="29" s="1"/>
  <c r="A20" i="33"/>
  <c r="C20" i="33" s="1"/>
  <c r="F4" i="6"/>
  <c r="I8" i="71" l="1"/>
  <c r="I9" i="71"/>
  <c r="I8" i="40"/>
  <c r="I9" i="40"/>
  <c r="I9" i="41"/>
  <c r="I10" i="41"/>
  <c r="I10" i="74"/>
  <c r="I11" i="74"/>
  <c r="I8" i="74"/>
  <c r="I9" i="74"/>
  <c r="I11" i="72"/>
  <c r="I12" i="72"/>
  <c r="I9" i="72"/>
  <c r="I10" i="72"/>
  <c r="I10" i="73"/>
  <c r="I11" i="73"/>
  <c r="I6" i="44"/>
  <c r="I7" i="44"/>
  <c r="I6" i="42"/>
  <c r="I7" i="42"/>
  <c r="I7" i="41"/>
  <c r="I8" i="41"/>
  <c r="I5" i="41"/>
  <c r="I6" i="41"/>
  <c r="I6" i="40"/>
  <c r="I7" i="40"/>
  <c r="I7" i="39"/>
  <c r="I8" i="39"/>
  <c r="I3" i="39"/>
  <c r="I6" i="39"/>
  <c r="I5" i="39"/>
  <c r="I4" i="39"/>
  <c r="I8" i="38"/>
  <c r="I9" i="38"/>
  <c r="I6" i="38"/>
  <c r="I7" i="38"/>
  <c r="I8" i="75"/>
  <c r="I9" i="75"/>
  <c r="I6" i="75"/>
  <c r="I7" i="75"/>
  <c r="I8" i="73"/>
  <c r="I9" i="73"/>
  <c r="I6" i="74"/>
  <c r="I7" i="74"/>
  <c r="I6" i="73"/>
  <c r="I7" i="73"/>
  <c r="I7" i="72"/>
  <c r="I8" i="72"/>
  <c r="I5" i="72"/>
  <c r="I6" i="72"/>
  <c r="I6" i="71"/>
  <c r="I7" i="71"/>
  <c r="I5" i="71"/>
  <c r="I4" i="71"/>
  <c r="I3" i="71"/>
  <c r="I6" i="70"/>
  <c r="I7" i="70"/>
  <c r="I3" i="41"/>
  <c r="I4" i="41"/>
  <c r="I4" i="72"/>
  <c r="F29" i="6"/>
  <c r="I5" i="73"/>
  <c r="I4" i="73"/>
  <c r="I3" i="73"/>
  <c r="I3" i="75"/>
  <c r="I5" i="75"/>
  <c r="I4" i="75"/>
  <c r="I4" i="74"/>
  <c r="I5" i="74"/>
  <c r="I3" i="74"/>
  <c r="I4" i="70"/>
  <c r="I5" i="70"/>
  <c r="E20" i="70" s="1"/>
  <c r="E3" i="70" s="1"/>
  <c r="E10" i="5" s="1"/>
  <c r="F10" i="5" s="1"/>
  <c r="I3" i="70"/>
  <c r="I3" i="53"/>
  <c r="E20" i="53" s="1"/>
  <c r="I5" i="53"/>
  <c r="I4" i="53"/>
  <c r="I5" i="51"/>
  <c r="I4" i="51"/>
  <c r="I3" i="51"/>
  <c r="E20" i="51" s="1"/>
  <c r="I5" i="48"/>
  <c r="I4" i="48"/>
  <c r="I3" i="48"/>
  <c r="E20" i="48" s="1"/>
  <c r="I3" i="65"/>
  <c r="E20" i="65" s="1"/>
  <c r="I5" i="65"/>
  <c r="I4" i="65"/>
  <c r="I3" i="49"/>
  <c r="E20" i="49" s="1"/>
  <c r="I5" i="49"/>
  <c r="I4" i="49"/>
  <c r="I5" i="63"/>
  <c r="I4" i="63"/>
  <c r="I3" i="63"/>
  <c r="E20" i="63"/>
  <c r="E3" i="63" s="1"/>
  <c r="I5" i="47"/>
  <c r="I4" i="47"/>
  <c r="I3" i="47"/>
  <c r="E20" i="47" s="1"/>
  <c r="H22" i="60"/>
  <c r="H23" i="60" s="1"/>
  <c r="E3" i="60"/>
  <c r="I3" i="69"/>
  <c r="E20" i="69" s="1"/>
  <c r="I5" i="69"/>
  <c r="I4" i="69"/>
  <c r="I4" i="42"/>
  <c r="I3" i="42"/>
  <c r="I5" i="42"/>
  <c r="I5" i="44"/>
  <c r="I4" i="44"/>
  <c r="I3" i="44"/>
  <c r="I3" i="45"/>
  <c r="E20" i="45" s="1"/>
  <c r="I5" i="45"/>
  <c r="I4" i="45"/>
  <c r="I4" i="50"/>
  <c r="E20" i="50" s="1"/>
  <c r="I3" i="50"/>
  <c r="I5" i="50"/>
  <c r="I4" i="38"/>
  <c r="I3" i="38"/>
  <c r="I5" i="38"/>
  <c r="E3" i="56"/>
  <c r="H22" i="56"/>
  <c r="H23" i="56" s="1"/>
  <c r="E3" i="68"/>
  <c r="H22" i="68"/>
  <c r="H23" i="68" s="1"/>
  <c r="I5" i="52"/>
  <c r="I4" i="52"/>
  <c r="I3" i="52"/>
  <c r="E20" i="52" s="1"/>
  <c r="E20" i="59"/>
  <c r="H22" i="59" s="1"/>
  <c r="H23" i="59" s="1"/>
  <c r="I5" i="40"/>
  <c r="I4" i="40"/>
  <c r="I3" i="40"/>
  <c r="I3" i="57"/>
  <c r="I5" i="57"/>
  <c r="I4" i="57"/>
  <c r="E20" i="57"/>
  <c r="E3" i="57" s="1"/>
  <c r="I4" i="46"/>
  <c r="I3" i="46"/>
  <c r="I5" i="46"/>
  <c r="E20" i="46" s="1"/>
  <c r="I5" i="67"/>
  <c r="I4" i="67"/>
  <c r="I3" i="67"/>
  <c r="E20" i="67"/>
  <c r="E3" i="67" s="1"/>
  <c r="E3" i="64"/>
  <c r="H22" i="64"/>
  <c r="H23" i="64" s="1"/>
  <c r="I3" i="61"/>
  <c r="E20" i="61" s="1"/>
  <c r="I5" i="61"/>
  <c r="I4" i="61"/>
  <c r="H22" i="62"/>
  <c r="H23" i="62" s="1"/>
  <c r="I4" i="54"/>
  <c r="I3" i="54"/>
  <c r="E20" i="54" s="1"/>
  <c r="I5" i="54"/>
  <c r="I5" i="43"/>
  <c r="I4" i="43"/>
  <c r="I3" i="43"/>
  <c r="I5" i="55"/>
  <c r="I4" i="55"/>
  <c r="I3" i="55"/>
  <c r="E20" i="55" s="1"/>
  <c r="I5" i="59"/>
  <c r="E3" i="59"/>
  <c r="I4" i="59"/>
  <c r="I3" i="59"/>
  <c r="E3" i="32"/>
  <c r="H22" i="32"/>
  <c r="H23" i="32" s="1"/>
  <c r="I3" i="29"/>
  <c r="I5" i="29"/>
  <c r="E20" i="29" s="1"/>
  <c r="I4" i="29"/>
  <c r="I5" i="31"/>
  <c r="I4" i="31"/>
  <c r="I3" i="31"/>
  <c r="E20" i="31" s="1"/>
  <c r="I3" i="33"/>
  <c r="I5" i="33"/>
  <c r="E20" i="33" s="1"/>
  <c r="I4" i="33"/>
  <c r="E3" i="28"/>
  <c r="H22" i="28"/>
  <c r="H23" i="28" s="1"/>
  <c r="H22" i="24"/>
  <c r="H23" i="24" s="1"/>
  <c r="E3" i="24"/>
  <c r="I5" i="25"/>
  <c r="E3" i="25"/>
  <c r="I3" i="25"/>
  <c r="I4" i="25"/>
  <c r="E20" i="25"/>
  <c r="H22" i="25" s="1"/>
  <c r="H23" i="25" s="1"/>
  <c r="I5" i="27"/>
  <c r="I4" i="27"/>
  <c r="E20" i="27" s="1"/>
  <c r="I3" i="27"/>
  <c r="E20" i="23"/>
  <c r="E3" i="23" s="1"/>
  <c r="E3" i="22"/>
  <c r="I4" i="23"/>
  <c r="I5" i="23"/>
  <c r="I3" i="23"/>
  <c r="H22" i="23"/>
  <c r="H23" i="23" s="1"/>
  <c r="H22" i="26"/>
  <c r="H23" i="26" s="1"/>
  <c r="E20" i="40" l="1"/>
  <c r="H22" i="40" s="1"/>
  <c r="H23" i="40" s="1"/>
  <c r="E20" i="41"/>
  <c r="H22" i="41" s="1"/>
  <c r="H23" i="41" s="1"/>
  <c r="E20" i="44"/>
  <c r="E3" i="44" s="1"/>
  <c r="E22" i="5" s="1"/>
  <c r="F22" i="5" s="1"/>
  <c r="E20" i="39"/>
  <c r="E3" i="39" s="1"/>
  <c r="E17" i="5" s="1"/>
  <c r="F17" i="5" s="1"/>
  <c r="E20" i="38"/>
  <c r="E20" i="75"/>
  <c r="H22" i="75" s="1"/>
  <c r="H23" i="75" s="1"/>
  <c r="E20" i="74"/>
  <c r="H22" i="74" s="1"/>
  <c r="H23" i="74" s="1"/>
  <c r="E20" i="73"/>
  <c r="E3" i="73" s="1"/>
  <c r="E13" i="5" s="1"/>
  <c r="F13" i="5" s="1"/>
  <c r="E20" i="72"/>
  <c r="E3" i="72" s="1"/>
  <c r="E12" i="5" s="1"/>
  <c r="F12" i="5" s="1"/>
  <c r="E20" i="71"/>
  <c r="H22" i="71" s="1"/>
  <c r="H23" i="71" s="1"/>
  <c r="E20" i="42"/>
  <c r="H22" i="42" s="1"/>
  <c r="H23" i="42" s="1"/>
  <c r="H22" i="70"/>
  <c r="H23" i="70" s="1"/>
  <c r="H22" i="50"/>
  <c r="H23" i="50" s="1"/>
  <c r="E3" i="50"/>
  <c r="H22" i="49"/>
  <c r="H23" i="49" s="1"/>
  <c r="E3" i="49"/>
  <c r="H22" i="53"/>
  <c r="H23" i="53" s="1"/>
  <c r="E3" i="53"/>
  <c r="H22" i="38"/>
  <c r="H23" i="38" s="1"/>
  <c r="E3" i="38"/>
  <c r="E16" i="5" s="1"/>
  <c r="F16" i="5" s="1"/>
  <c r="E3" i="52"/>
  <c r="H22" i="52"/>
  <c r="H23" i="52" s="1"/>
  <c r="E3" i="69"/>
  <c r="H22" i="69"/>
  <c r="H23" i="69" s="1"/>
  <c r="H22" i="48"/>
  <c r="H23" i="48" s="1"/>
  <c r="E3" i="48"/>
  <c r="H22" i="61"/>
  <c r="H23" i="61" s="1"/>
  <c r="E3" i="61"/>
  <c r="E3" i="46"/>
  <c r="H22" i="46"/>
  <c r="H23" i="46" s="1"/>
  <c r="H22" i="55"/>
  <c r="H23" i="55" s="1"/>
  <c r="E3" i="55"/>
  <c r="H22" i="54"/>
  <c r="H23" i="54" s="1"/>
  <c r="E3" i="54"/>
  <c r="H22" i="45"/>
  <c r="H23" i="45" s="1"/>
  <c r="E3" i="45"/>
  <c r="H22" i="47"/>
  <c r="H23" i="47" s="1"/>
  <c r="E3" i="47"/>
  <c r="E3" i="65"/>
  <c r="H22" i="65"/>
  <c r="H23" i="65" s="1"/>
  <c r="H22" i="51"/>
  <c r="H23" i="51" s="1"/>
  <c r="E3" i="51"/>
  <c r="E20" i="43"/>
  <c r="H22" i="67"/>
  <c r="H23" i="67" s="1"/>
  <c r="H22" i="63"/>
  <c r="H23" i="63" s="1"/>
  <c r="H22" i="57"/>
  <c r="H23" i="57" s="1"/>
  <c r="E3" i="31"/>
  <c r="H22" i="31"/>
  <c r="H23" i="31" s="1"/>
  <c r="E3" i="29"/>
  <c r="H22" i="29"/>
  <c r="H23" i="29" s="1"/>
  <c r="H22" i="27"/>
  <c r="H23" i="27" s="1"/>
  <c r="E3" i="27"/>
  <c r="E3" i="33"/>
  <c r="H22" i="33"/>
  <c r="H23" i="33" s="1"/>
  <c r="E3" i="41" l="1"/>
  <c r="E19" i="5" s="1"/>
  <c r="F19" i="5" s="1"/>
  <c r="E3" i="40"/>
  <c r="E18" i="5" s="1"/>
  <c r="F18" i="5" s="1"/>
  <c r="H22" i="72"/>
  <c r="H23" i="72" s="1"/>
  <c r="H22" i="44"/>
  <c r="H23" i="44" s="1"/>
  <c r="H22" i="39"/>
  <c r="H23" i="39" s="1"/>
  <c r="E3" i="75"/>
  <c r="E15" i="5" s="1"/>
  <c r="F15" i="5" s="1"/>
  <c r="E3" i="74"/>
  <c r="E14" i="5" s="1"/>
  <c r="F14" i="5" s="1"/>
  <c r="H22" i="73"/>
  <c r="H23" i="73" s="1"/>
  <c r="E3" i="71"/>
  <c r="E11" i="5" s="1"/>
  <c r="F11" i="5" s="1"/>
  <c r="E3" i="42"/>
  <c r="E20" i="5" s="1"/>
  <c r="F20" i="5" s="1"/>
  <c r="E3" i="43"/>
  <c r="E21" i="5" s="1"/>
  <c r="F21" i="5" s="1"/>
  <c r="H22" i="43"/>
  <c r="H23" i="43" s="1"/>
  <c r="F23" i="5" l="1"/>
  <c r="G10" i="5"/>
</calcChain>
</file>

<file path=xl/sharedStrings.xml><?xml version="1.0" encoding="utf-8"?>
<sst xmlns="http://schemas.openxmlformats.org/spreadsheetml/2006/main" count="1631" uniqueCount="184">
  <si>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</si>
  <si>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</si>
  <si>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</si>
  <si>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</si>
  <si>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</si>
  <si>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</si>
  <si>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</si>
  <si>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</si>
  <si>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</si>
  <si>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</si>
  <si>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</si>
  <si>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</si>
  <si>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</si>
  <si>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</si>
  <si>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</si>
  <si>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</si>
  <si>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</si>
  <si>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</si>
  <si>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</si>
  <si>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</si>
  <si>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</si>
  <si>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</si>
  <si>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</si>
  <si>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</si>
  <si>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</si>
  <si>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</si>
  <si>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</si>
  <si>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</si>
  <si>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</si>
  <si>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</si>
  <si>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</si>
  <si>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</si>
  <si>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</si>
  <si>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</si>
  <si>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</si>
  <si>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</si>
  <si>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NÃO ALTERE AS FÓRMULAS LTDA</t>
  </si>
  <si>
    <t>NÃO MUDE A ALTURA DAS LINHAS S.A</t>
  </si>
  <si>
    <t>NÃO MUDE AS CORES LTDA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</si>
  <si>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</si>
  <si>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</si>
  <si>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</si>
  <si>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</si>
  <si>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</si>
  <si>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</si>
  <si>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</si>
  <si>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</si>
  <si>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</si>
  <si>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</si>
  <si>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</si>
  <si>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</si>
  <si>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</si>
  <si>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</si>
  <si>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</si>
  <si>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</si>
  <si>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</si>
  <si>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</si>
  <si>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</si>
  <si>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</si>
  <si>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</si>
  <si>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</si>
  <si>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</si>
  <si>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</si>
  <si>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</si>
  <si>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</si>
  <si>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</si>
  <si>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</si>
  <si>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</si>
  <si>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</si>
  <si>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</si>
  <si>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</si>
  <si>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</si>
  <si>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</si>
  <si>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</si>
  <si>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</si>
  <si>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</si>
  <si>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</si>
  <si>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</si>
  <si>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</si>
  <si>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</si>
  <si>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</si>
  <si>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</si>
  <si>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</si>
  <si>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</si>
  <si>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</si>
  <si>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</si>
  <si>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</si>
  <si>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</si>
  <si>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</si>
  <si>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</si>
  <si>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</si>
  <si>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 xml:space="preserve">TOMADA 2P+T 20A 250V C/PLACA 4"x2" BRANCA + SUPORTE COMPOSE
</t>
  </si>
  <si>
    <t xml:space="preserve">CONECTOR FÊMEA RJ-45, CATEGORIA 6
</t>
  </si>
  <si>
    <t xml:space="preserve">CONECTOR MACHO RJ-45, CATEGORIA 6
</t>
  </si>
  <si>
    <t>CABO DE PAR TRANCADO UTP, 4 PARES, CATEGORIA 6</t>
  </si>
  <si>
    <t xml:space="preserve">CABO MULTIPOLAR DE COBRE, FLEXIVEL, CLASSE 4 OU 5, ISOLACAO EM HEPR, COBERTURA EM PVC-ST2, ANTICHAMA BWF-B, 0,6/1 KV, 3 CONDUTORES DE 2,5 MM2
</t>
  </si>
  <si>
    <t xml:space="preserve">CABO FLEXIVEL PVC 750 V, 2 CONDUTORES DE 1,5 MM2
</t>
  </si>
  <si>
    <t>CAIXA DE SOBREPOR EM PVC, PARA 02 CONECTORES RJ-45, COM ESPELHO</t>
  </si>
  <si>
    <t xml:space="preserve">INTERRUPTOR SIMPLES 10A, 250V, CONJUNTO MONTADO PARA SOBREPOR 4" X 2" (CAIXA +MÓDULO)
</t>
  </si>
  <si>
    <t xml:space="preserve">ABRAÇADEIRA DE NYLON PARA AMARRACAO DE CABOS, COMPRIMENTO DE 200 X *4,6* MM
</t>
  </si>
  <si>
    <t xml:space="preserve">CORDÃO DUPLEX SM BLI LC-UPC/LC-UPC3 2.5M LSZH AZ (A-B)
</t>
  </si>
  <si>
    <t xml:space="preserve">Patch Cord CAT. 6 LSZH  comprimento 2,0 mts, ref. GIGALAN GREEN
</t>
  </si>
  <si>
    <t xml:space="preserve">Patch Cord CAT. 6 LSZH  comprimento 3.0 mts, ref. GIGALAN GREEN
</t>
  </si>
  <si>
    <t xml:space="preserve">TOMADA 2P+T 10A, 250V,CONJUNTO MONTADO PARA SOBREPOR 4" X 2" (CAIXA + MÓDULO)
</t>
  </si>
  <si>
    <t>Jnx interruptores e tomadas</t>
  </si>
  <si>
    <t>Multimega</t>
  </si>
  <si>
    <t>Unicaserv</t>
  </si>
  <si>
    <t>Sinalize LTDA</t>
  </si>
  <si>
    <t>C&amp;C Casa e Construção Ltda</t>
  </si>
  <si>
    <t>Construthema</t>
  </si>
  <si>
    <t>Othon de Carvalho</t>
  </si>
  <si>
    <t>Amazon</t>
  </si>
  <si>
    <t xml:space="preserve">Flessak </t>
  </si>
  <si>
    <t>Eletronica Santana</t>
  </si>
  <si>
    <t>Loja Elétrica Ltda</t>
  </si>
  <si>
    <t>Loja Ibyte</t>
  </si>
  <si>
    <t>Mundomax</t>
  </si>
  <si>
    <t>Asolucao Cabos e Conectores</t>
  </si>
  <si>
    <t>FDG</t>
  </si>
  <si>
    <t>Grupo Solução Cabos</t>
  </si>
  <si>
    <t>Redcabos</t>
  </si>
  <si>
    <t>Wonder Cabos</t>
  </si>
  <si>
    <t>Magaprice Comercio</t>
  </si>
  <si>
    <t>Eletrônica Santana</t>
  </si>
  <si>
    <t>Kabum</t>
  </si>
  <si>
    <t>Oficina dos Bits</t>
  </si>
  <si>
    <t>Xmania</t>
  </si>
  <si>
    <t>Acquafort</t>
  </si>
  <si>
    <t>Americanas</t>
  </si>
  <si>
    <t>Metro</t>
  </si>
  <si>
    <t>Cordeiro</t>
  </si>
  <si>
    <t>Dimensional</t>
  </si>
  <si>
    <t>Elbran</t>
  </si>
  <si>
    <t>Kalimera Componentes</t>
  </si>
  <si>
    <t>Santil</t>
  </si>
  <si>
    <t>Metros</t>
  </si>
  <si>
    <t>Elegtroinfo Cia</t>
  </si>
  <si>
    <t>Garoa Mat Elétricos</t>
  </si>
  <si>
    <t>GH Elétrica</t>
  </si>
  <si>
    <t>Olist</t>
  </si>
  <si>
    <t>RH Mat Elétricos</t>
  </si>
  <si>
    <t>Royal Máquinas e Ferramentas</t>
  </si>
  <si>
    <t>Telha Norte</t>
  </si>
  <si>
    <t>Ferreira Costa</t>
  </si>
  <si>
    <t>Ferramentas Kenedi/Loja do Mecânico</t>
  </si>
  <si>
    <t>Mr Home/Kabum</t>
  </si>
  <si>
    <t xml:space="preserve">Net Computadores </t>
  </si>
  <si>
    <t>TL Informática</t>
  </si>
  <si>
    <t>Ferramentas Kenedy</t>
  </si>
  <si>
    <t>Casa do Roadie</t>
  </si>
  <si>
    <t>Extarte</t>
  </si>
  <si>
    <t>Jetlink Peças</t>
  </si>
  <si>
    <t>Kalunga</t>
  </si>
  <si>
    <t>Mec Tronic</t>
  </si>
  <si>
    <t>A Solução cabos</t>
  </si>
  <si>
    <t>A Solução Cabos</t>
  </si>
  <si>
    <t>Casa da Ti</t>
  </si>
  <si>
    <t>Net Computadores</t>
  </si>
  <si>
    <t>Tel Cabos</t>
  </si>
  <si>
    <t>Prime Cabos</t>
  </si>
  <si>
    <t>Abreu Martins e Cia - Pregão UFB Paraná</t>
  </si>
  <si>
    <t>Netware - Pregão Sup PRF MS</t>
  </si>
  <si>
    <t>Quality Atacado - Pregão Comando Exército</t>
  </si>
  <si>
    <t>GR Trade - Pregão Inst Federal Educação</t>
  </si>
  <si>
    <t>Controlltec Brasil - Pregão Comando Exército</t>
  </si>
  <si>
    <t>Hiper Technlogies-Pregão Comando da Marinha</t>
  </si>
  <si>
    <t>Compuset Informática - Pregão Fund. Joaquim</t>
  </si>
  <si>
    <t>Maria Consuelo - Comando exército</t>
  </si>
  <si>
    <t>Rosemary Olinda - Pregão TRE-ES</t>
  </si>
  <si>
    <t>Juliano José - Pregão Pref. Prudentopólis</t>
  </si>
  <si>
    <t>Atacasul - Pregão Pref. Leonidas Marques</t>
  </si>
  <si>
    <t xml:space="preserve">Dimensional </t>
  </si>
  <si>
    <t>Copafer</t>
  </si>
  <si>
    <t>Leroy Merlin</t>
  </si>
  <si>
    <t>Multi Mega</t>
  </si>
  <si>
    <t>Net Elétrica</t>
  </si>
  <si>
    <t>Tramontina</t>
  </si>
  <si>
    <t>Diba 695</t>
  </si>
  <si>
    <t>ONEvsALI</t>
  </si>
  <si>
    <t>DZ Materiais Elétricos</t>
  </si>
  <si>
    <t>A Solução Network</t>
  </si>
  <si>
    <t>Telcabos</t>
  </si>
  <si>
    <t>Qualilam</t>
  </si>
  <si>
    <t>RP Distribuidora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</si>
</sst>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3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3" fontId="15" fillId="0" borderId="6" xfId="0" applyNumberFormat="1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calcChain" Target="calcChain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2962275</xdr:colOff>
      <xdr:row>0</xdr:row>
      <xdr:rowOff>0</xdr:rowOff>
    </xdr:from>
    <xdr:to>
      <xdr:col>2</xdr:col>
      <xdr:colOff>104775</xdr:colOff>
      <xdr:row>6</xdr:row>
      <xdr:rowOff>144417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875" y="0"/>
          <a:ext cx="2933700" cy="11159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7" sqref="G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103</v>
      </c>
      <c r="C3" s="54" t="s">
        <v>8</v>
      </c>
      <c r="D3" s="57">
        <v>2976</v>
      </c>
      <c r="E3" s="60">
        <f>IF(C20&lt;=25%,D20,MIN(E20:F20))</f>
        <v>10.59</v>
      </c>
      <c r="F3" s="60">
        <f>MIN(H3:H17)</f>
        <v>6.75</v>
      </c>
      <c r="G3" s="5" t="s">
        <v>127</v>
      </c>
      <c r="H3" s="14">
        <v>7.54</v>
      </c>
      <c r="I3" s="30">
        <f>IF(H3="","",(IF($C$20&lt;25%,"N/A",IF(H3&lt;=($D$20+$A$20),H3,"Descartado"))))</f>
        <v>7.54</v>
      </c>
    </row>
    <row r="4" spans="1:9">
      <c r="A4" s="50"/>
      <c r="B4" s="52"/>
      <c r="C4" s="55"/>
      <c r="D4" s="58"/>
      <c r="E4" s="61"/>
      <c r="F4" s="61"/>
      <c r="G4" s="5" t="s">
        <v>104</v>
      </c>
      <c r="H4" s="14">
        <v>9.89</v>
      </c>
      <c r="I4" s="30">
        <f t="shared" ref="I4:I17" si="0">IF(H4="","",(IF($C$20&lt;25%,"N/A",IF(H4&lt;=($D$20+$A$20),H4,"Descartado"))))</f>
        <v>9.89</v>
      </c>
    </row>
    <row r="5" spans="1:9">
      <c r="A5" s="50"/>
      <c r="B5" s="52"/>
      <c r="C5" s="55"/>
      <c r="D5" s="58"/>
      <c r="E5" s="61"/>
      <c r="F5" s="61"/>
      <c r="G5" s="5" t="s">
        <v>105</v>
      </c>
      <c r="H5" s="14">
        <v>14.9</v>
      </c>
      <c r="I5" s="30">
        <f t="shared" si="0"/>
        <v>14.9</v>
      </c>
    </row>
    <row r="6" spans="1:9">
      <c r="A6" s="50"/>
      <c r="B6" s="52"/>
      <c r="C6" s="55"/>
      <c r="D6" s="58"/>
      <c r="E6" s="61"/>
      <c r="F6" s="61"/>
      <c r="G6" s="5" t="s">
        <v>183</v>
      </c>
      <c r="H6" s="14">
        <v>13.89</v>
      </c>
      <c r="I6" s="30">
        <f t="shared" si="0"/>
        <v>13.89</v>
      </c>
    </row>
    <row r="7" spans="1:9">
      <c r="A7" s="50"/>
      <c r="B7" s="52"/>
      <c r="C7" s="55"/>
      <c r="D7" s="58"/>
      <c r="E7" s="61"/>
      <c r="F7" s="61"/>
      <c r="G7" s="5" t="s">
        <v>107</v>
      </c>
      <c r="H7" s="14">
        <v>19.52</v>
      </c>
      <c r="I7" s="30" t="str">
        <f t="shared" si="0"/>
        <v>Descartado</v>
      </c>
    </row>
    <row r="8" spans="1:9">
      <c r="A8" s="50"/>
      <c r="B8" s="52"/>
      <c r="C8" s="55"/>
      <c r="D8" s="58"/>
      <c r="E8" s="61"/>
      <c r="F8" s="61"/>
      <c r="G8" s="5" t="s">
        <v>106</v>
      </c>
      <c r="H8" s="14">
        <v>6.75</v>
      </c>
      <c r="I8" s="30">
        <f t="shared" si="0"/>
        <v>6.75</v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4.9071108268172106</v>
      </c>
      <c r="B20" s="20">
        <f>COUNT(H3:H17)</f>
        <v>6</v>
      </c>
      <c r="C20" s="21">
        <f>IF(B20&lt;2,"N/A",(A20/D20))</f>
        <v>0.40621778367692141</v>
      </c>
      <c r="D20" s="22">
        <f>ROUND(AVERAGE(H3:H17),2)</f>
        <v>12.08</v>
      </c>
      <c r="E20" s="23">
        <f>IFERROR(ROUND(IF(B20&lt;2,"N/A",(IF(C20&lt;=25%,"N/A",AVERAGE(I3:I17)))),2),"N/A")</f>
        <v>10.59</v>
      </c>
      <c r="F20" s="23">
        <f>ROUND(MEDIAN(H3:H17),2)</f>
        <v>11.89</v>
      </c>
      <c r="G20" s="24" t="str">
        <f>INDEX(G3:G17,MATCH(H20,H3:H17,0))</f>
        <v>Unicaserv</v>
      </c>
      <c r="H20" s="25">
        <f>MIN(H3:H17)</f>
        <v>6.75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10.59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31515.84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1" sqref="H11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99</v>
      </c>
      <c r="C3" s="54" t="s">
        <v>8</v>
      </c>
      <c r="D3" s="57">
        <v>1000</v>
      </c>
      <c r="E3" s="60">
        <f>IF(C20&lt;=25%,D20,MIN(E20:F20))</f>
        <v>0.19</v>
      </c>
      <c r="F3" s="60">
        <f>MIN(H3:H17)</f>
        <v>0.13200000000000001</v>
      </c>
      <c r="G3" s="5" t="s">
        <v>149</v>
      </c>
      <c r="H3" s="14">
        <f>28.41/100</f>
        <v>0.28410000000000002</v>
      </c>
      <c r="I3" s="30" t="str">
        <f>IF(H3="","",(IF($C$20&lt;25%,"N/A",IF(H3&lt;=($D$20+$A$20),H3,"Descartado"))))</f>
        <v>Descartado</v>
      </c>
    </row>
    <row r="4" spans="1:9">
      <c r="A4" s="50"/>
      <c r="B4" s="52"/>
      <c r="C4" s="55"/>
      <c r="D4" s="58"/>
      <c r="E4" s="61"/>
      <c r="F4" s="61"/>
      <c r="G4" s="5" t="s">
        <v>150</v>
      </c>
      <c r="H4" s="14">
        <f>31.88/100</f>
        <v>0.31879999999999997</v>
      </c>
      <c r="I4" s="30" t="str">
        <f t="shared" ref="I4:I17" si="0">IF(H4="","",(IF($C$20&lt;25%,"N/A",IF(H4&lt;=($D$20+$A$20),H4,"Descartado"))))</f>
        <v>Descartado</v>
      </c>
    </row>
    <row r="5" spans="1:9">
      <c r="A5" s="50"/>
      <c r="B5" s="52"/>
      <c r="C5" s="55"/>
      <c r="D5" s="58"/>
      <c r="E5" s="61"/>
      <c r="F5" s="61"/>
      <c r="G5" s="5" t="s">
        <v>151</v>
      </c>
      <c r="H5" s="14">
        <f>22.68/100</f>
        <v>0.2268</v>
      </c>
      <c r="I5" s="30">
        <f t="shared" si="0"/>
        <v>0.2268</v>
      </c>
    </row>
    <row r="6" spans="1:9">
      <c r="A6" s="50"/>
      <c r="B6" s="52"/>
      <c r="C6" s="55"/>
      <c r="D6" s="58"/>
      <c r="E6" s="61"/>
      <c r="F6" s="61"/>
      <c r="G6" s="5" t="s">
        <v>152</v>
      </c>
      <c r="H6" s="14">
        <f>18.6/100</f>
        <v>0.18600000000000003</v>
      </c>
      <c r="I6" s="30">
        <f t="shared" si="0"/>
        <v>0.18600000000000003</v>
      </c>
    </row>
    <row r="7" spans="1:9">
      <c r="A7" s="50"/>
      <c r="B7" s="52"/>
      <c r="C7" s="55"/>
      <c r="D7" s="58"/>
      <c r="E7" s="61"/>
      <c r="F7" s="61"/>
      <c r="G7" s="5" t="s">
        <v>153</v>
      </c>
      <c r="H7" s="14">
        <f>19.34/100</f>
        <v>0.19339999999999999</v>
      </c>
      <c r="I7" s="30">
        <f t="shared" si="0"/>
        <v>0.19339999999999999</v>
      </c>
    </row>
    <row r="8" spans="1:9">
      <c r="A8" s="50"/>
      <c r="B8" s="52"/>
      <c r="C8" s="55"/>
      <c r="D8" s="58"/>
      <c r="E8" s="61"/>
      <c r="F8" s="61"/>
      <c r="G8" s="5" t="s">
        <v>134</v>
      </c>
      <c r="H8" s="14">
        <f>19.68/100</f>
        <v>0.1968</v>
      </c>
      <c r="I8" s="30">
        <f t="shared" si="0"/>
        <v>0.1968</v>
      </c>
    </row>
    <row r="9" spans="1:9">
      <c r="A9" s="50"/>
      <c r="B9" s="52"/>
      <c r="C9" s="55"/>
      <c r="D9" s="58"/>
      <c r="E9" s="61"/>
      <c r="F9" s="61"/>
      <c r="G9" s="5" t="s">
        <v>170</v>
      </c>
      <c r="H9" s="14">
        <f>18.64/100</f>
        <v>0.18640000000000001</v>
      </c>
      <c r="I9" s="30">
        <f t="shared" si="0"/>
        <v>0.18640000000000001</v>
      </c>
    </row>
    <row r="10" spans="1:9">
      <c r="A10" s="50"/>
      <c r="B10" s="52"/>
      <c r="C10" s="55"/>
      <c r="D10" s="58"/>
      <c r="E10" s="61"/>
      <c r="F10" s="61"/>
      <c r="G10" s="5" t="s">
        <v>169</v>
      </c>
      <c r="H10" s="14">
        <f>13.2/100</f>
        <v>0.13200000000000001</v>
      </c>
      <c r="I10" s="30">
        <f t="shared" si="0"/>
        <v>0.13200000000000001</v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5.9799592389914946E-2</v>
      </c>
      <c r="B20" s="20">
        <f>COUNT(H3:H17)</f>
        <v>8</v>
      </c>
      <c r="C20" s="21">
        <f>IF(B20&lt;2,"N/A",(A20/D20))</f>
        <v>0.27181632904506792</v>
      </c>
      <c r="D20" s="22">
        <f>ROUND(AVERAGE(H3:H17),2)</f>
        <v>0.22</v>
      </c>
      <c r="E20" s="23">
        <f>IFERROR(ROUND(IF(B20&lt;2,"N/A",(IF(C20&lt;=25%,"N/A",AVERAGE(I3:I17)))),2),"N/A")</f>
        <v>0.19</v>
      </c>
      <c r="F20" s="23">
        <f>ROUND(MEDIAN(H3:H17),2)</f>
        <v>0.2</v>
      </c>
      <c r="G20" s="24" t="str">
        <f>INDEX(G3:G17,MATCH(H20,H3:H17,0))</f>
        <v>Juliano José - Pregão Pref. Prudentopólis</v>
      </c>
      <c r="H20" s="25">
        <f>MIN(H3:H17)</f>
        <v>0.13200000000000001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0.19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190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100</v>
      </c>
      <c r="C3" s="54" t="s">
        <v>8</v>
      </c>
      <c r="D3" s="72">
        <v>50</v>
      </c>
      <c r="E3" s="60">
        <f>IF(C20&lt;=25%,D20,MIN(E20:F20))</f>
        <v>145.38</v>
      </c>
      <c r="F3" s="60">
        <f>MIN(H3:H17)</f>
        <v>88.03</v>
      </c>
      <c r="G3" s="5" t="s">
        <v>155</v>
      </c>
      <c r="H3" s="14">
        <v>88.03</v>
      </c>
      <c r="I3" s="30">
        <f>IF(H3="","",(IF($C$20&lt;25%,"N/A",IF(H3&lt;=($D$20+$A$20),H3,"Descartado"))))</f>
        <v>88.03</v>
      </c>
    </row>
    <row r="4" spans="1:9">
      <c r="A4" s="50"/>
      <c r="B4" s="52"/>
      <c r="C4" s="55"/>
      <c r="D4" s="58"/>
      <c r="E4" s="61"/>
      <c r="F4" s="61"/>
      <c r="G4" s="5" t="s">
        <v>180</v>
      </c>
      <c r="H4" s="14">
        <v>117</v>
      </c>
      <c r="I4" s="30">
        <f t="shared" ref="I4:I17" si="0">IF(H4="","",(IF($C$20&lt;25%,"N/A",IF(H4&lt;=($D$20+$A$20),H4,"Descartado"))))</f>
        <v>117</v>
      </c>
    </row>
    <row r="5" spans="1:9">
      <c r="A5" s="50"/>
      <c r="B5" s="52"/>
      <c r="C5" s="55"/>
      <c r="D5" s="58"/>
      <c r="E5" s="61"/>
      <c r="F5" s="61"/>
      <c r="G5" s="5" t="s">
        <v>156</v>
      </c>
      <c r="H5" s="14">
        <v>169</v>
      </c>
      <c r="I5" s="30">
        <f t="shared" si="0"/>
        <v>169</v>
      </c>
    </row>
    <row r="6" spans="1:9">
      <c r="A6" s="50"/>
      <c r="B6" s="52"/>
      <c r="C6" s="55"/>
      <c r="D6" s="58"/>
      <c r="E6" s="61"/>
      <c r="F6" s="61"/>
      <c r="G6" s="5" t="s">
        <v>131</v>
      </c>
      <c r="H6" s="14">
        <v>182.99</v>
      </c>
      <c r="I6" s="30">
        <f t="shared" si="0"/>
        <v>182.99</v>
      </c>
    </row>
    <row r="7" spans="1:9">
      <c r="A7" s="50"/>
      <c r="B7" s="52"/>
      <c r="C7" s="55"/>
      <c r="D7" s="58"/>
      <c r="E7" s="61"/>
      <c r="F7" s="61"/>
      <c r="G7" s="5" t="s">
        <v>157</v>
      </c>
      <c r="H7" s="14">
        <v>169.9</v>
      </c>
      <c r="I7" s="30">
        <f t="shared" si="0"/>
        <v>169.9</v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40.829198253210961</v>
      </c>
      <c r="B20" s="20">
        <f>COUNT(H3:H17)</f>
        <v>5</v>
      </c>
      <c r="C20" s="21">
        <f>IF(B20&lt;2,"N/A",(A20/D20))</f>
        <v>0.28084467088465376</v>
      </c>
      <c r="D20" s="22">
        <f>ROUND(AVERAGE(H3:H17),2)</f>
        <v>145.38</v>
      </c>
      <c r="E20" s="23">
        <f>IFERROR(ROUND(IF(B20&lt;2,"N/A",(IF(C20&lt;=25%,"N/A",AVERAGE(I3:I17)))),2),"N/A")</f>
        <v>145.38</v>
      </c>
      <c r="F20" s="23">
        <f>ROUND(MEDIAN(H3:H17),2)</f>
        <v>169</v>
      </c>
      <c r="G20" s="24" t="str">
        <f>INDEX(G3:G17,MATCH(H20,H3:H17,0))</f>
        <v>A Solução Cabos</v>
      </c>
      <c r="H20" s="25">
        <f>MIN(H3:H17)</f>
        <v>88.03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145.38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7269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6" sqref="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101</v>
      </c>
      <c r="C3" s="54" t="s">
        <v>8</v>
      </c>
      <c r="D3" s="57">
        <v>1400</v>
      </c>
      <c r="E3" s="60">
        <f>IF(C20&lt;=25%,D20,MIN(E20:F20))</f>
        <v>105.87</v>
      </c>
      <c r="F3" s="60">
        <f>MIN(H3:H17)</f>
        <v>74.209999999999994</v>
      </c>
      <c r="G3" s="5" t="s">
        <v>154</v>
      </c>
      <c r="H3" s="14">
        <v>107.35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180</v>
      </c>
      <c r="H4" s="14">
        <v>114.9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 t="s">
        <v>139</v>
      </c>
      <c r="H5" s="14">
        <v>127</v>
      </c>
      <c r="I5" s="30" t="str">
        <f t="shared" si="0"/>
        <v>N/A</v>
      </c>
    </row>
    <row r="6" spans="1:9">
      <c r="A6" s="50"/>
      <c r="B6" s="52"/>
      <c r="C6" s="55"/>
      <c r="D6" s="58"/>
      <c r="E6" s="61"/>
      <c r="F6" s="61"/>
      <c r="G6" s="5" t="s">
        <v>158</v>
      </c>
      <c r="H6" s="14">
        <v>74.209999999999994</v>
      </c>
      <c r="I6" s="30" t="str">
        <f t="shared" si="0"/>
        <v>N/A</v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22.602092086058509</v>
      </c>
      <c r="B20" s="20">
        <f>COUNT(H3:H17)</f>
        <v>4</v>
      </c>
      <c r="C20" s="21">
        <f>IF(B20&lt;2,"N/A",(A20/D20))</f>
        <v>0.21348911009784177</v>
      </c>
      <c r="D20" s="22">
        <f>ROUND(AVERAGE(H3:H17),2)</f>
        <v>105.87</v>
      </c>
      <c r="E20" s="23" t="str">
        <f>IFERROR(ROUND(IF(B20&lt;2,"N/A",(IF(C20&lt;=25%,"N/A",AVERAGE(I3:I17)))),2),"N/A")</f>
        <v>N/A</v>
      </c>
      <c r="F20" s="23">
        <f>ROUND(MEDIAN(H3:H17),2)</f>
        <v>111.13</v>
      </c>
      <c r="G20" s="24" t="str">
        <f>INDEX(G3:G17,MATCH(H20,H3:H17,0))</f>
        <v>Tel Cabos</v>
      </c>
      <c r="H20" s="25">
        <f>MIN(H3:H17)</f>
        <v>74.209999999999994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105.87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148218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6" sqref="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102</v>
      </c>
      <c r="C3" s="54" t="s">
        <v>8</v>
      </c>
      <c r="D3" s="57">
        <v>1400</v>
      </c>
      <c r="E3" s="60">
        <f>IF(C20&lt;=25%,D20,MIN(E20:F20))</f>
        <v>75.03</v>
      </c>
      <c r="F3" s="60">
        <f>MIN(H3:H17)</f>
        <v>55</v>
      </c>
      <c r="G3" s="5" t="s">
        <v>155</v>
      </c>
      <c r="H3" s="14">
        <v>64.41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159</v>
      </c>
      <c r="H4" s="14">
        <v>69.900000000000006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 t="s">
        <v>181</v>
      </c>
      <c r="H5" s="14">
        <v>98.7</v>
      </c>
      <c r="I5" s="30" t="str">
        <f t="shared" si="0"/>
        <v>N/A</v>
      </c>
    </row>
    <row r="6" spans="1:9">
      <c r="A6" s="50"/>
      <c r="B6" s="52"/>
      <c r="C6" s="55"/>
      <c r="D6" s="58"/>
      <c r="E6" s="61"/>
      <c r="F6" s="61"/>
      <c r="G6" s="5" t="s">
        <v>182</v>
      </c>
      <c r="H6" s="14">
        <v>87.14</v>
      </c>
      <c r="I6" s="30" t="str">
        <f t="shared" si="0"/>
        <v>N/A</v>
      </c>
    </row>
    <row r="7" spans="1:9">
      <c r="A7" s="50"/>
      <c r="B7" s="52"/>
      <c r="C7" s="55"/>
      <c r="D7" s="58"/>
      <c r="E7" s="61"/>
      <c r="F7" s="61"/>
      <c r="G7" s="5" t="s">
        <v>121</v>
      </c>
      <c r="H7" s="14">
        <v>55</v>
      </c>
      <c r="I7" s="30" t="str">
        <f t="shared" si="0"/>
        <v>N/A</v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17.658023671974195</v>
      </c>
      <c r="B20" s="20">
        <f>COUNT(H3:H17)</f>
        <v>5</v>
      </c>
      <c r="C20" s="21">
        <f>IF(B20&lt;2,"N/A",(A20/D20))</f>
        <v>0.23534617715546041</v>
      </c>
      <c r="D20" s="22">
        <f>ROUND(AVERAGE(H3:H17),2)</f>
        <v>75.03</v>
      </c>
      <c r="E20" s="23" t="str">
        <f>IFERROR(ROUND(IF(B20&lt;2,"N/A",(IF(C20&lt;=25%,"N/A",AVERAGE(I3:I17)))),2),"N/A")</f>
        <v>N/A</v>
      </c>
      <c r="F20" s="23">
        <f>ROUND(MEDIAN(H3:H17),2)</f>
        <v>69.900000000000006</v>
      </c>
      <c r="G20" s="24" t="str">
        <f>INDEX(G3:G17,MATCH(H20,H3:H17,0))</f>
        <v>Wonder Cabos</v>
      </c>
      <c r="H20" s="25">
        <f>MIN(H3:H17)</f>
        <v>55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75.03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105042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57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59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91</v>
      </c>
      <c r="C3" s="54" t="s">
        <v>8</v>
      </c>
      <c r="D3" s="72">
        <v>61</v>
      </c>
      <c r="E3" s="60">
        <f>IF(C20&lt;=25%,D20,MIN(E20:F20))</f>
        <v>12.15</v>
      </c>
      <c r="F3" s="60">
        <f>MIN(H3:H17)</f>
        <v>7.99</v>
      </c>
      <c r="G3" s="5" t="s">
        <v>108</v>
      </c>
      <c r="H3" s="14">
        <v>16.989999999999998</v>
      </c>
      <c r="I3" s="30">
        <f>IF(H3="","",(IF($C$20&lt;25%,"N/A",IF(H3&lt;=($D$20+$A$20),H3,"Descartado"))))</f>
        <v>16.989999999999998</v>
      </c>
    </row>
    <row r="4" spans="1:9">
      <c r="A4" s="50"/>
      <c r="B4" s="52"/>
      <c r="C4" s="55"/>
      <c r="D4" s="58"/>
      <c r="E4" s="61"/>
      <c r="F4" s="61"/>
      <c r="G4" s="5" t="s">
        <v>139</v>
      </c>
      <c r="H4" s="14">
        <v>22.31</v>
      </c>
      <c r="I4" s="30" t="str">
        <f t="shared" ref="I4:I17" si="0">IF(H4="","",(IF($C$20&lt;25%,"N/A",IF(H4&lt;=($D$20+$A$20),H4,"Descartado"))))</f>
        <v>Descartado</v>
      </c>
    </row>
    <row r="5" spans="1:9">
      <c r="A5" s="50"/>
      <c r="B5" s="52"/>
      <c r="C5" s="55"/>
      <c r="D5" s="58"/>
      <c r="E5" s="61"/>
      <c r="F5" s="61"/>
      <c r="G5" s="5" t="s">
        <v>109</v>
      </c>
      <c r="H5" s="14">
        <v>10.71</v>
      </c>
      <c r="I5" s="30">
        <f t="shared" si="0"/>
        <v>10.71</v>
      </c>
    </row>
    <row r="6" spans="1:9">
      <c r="A6" s="50"/>
      <c r="B6" s="52"/>
      <c r="C6" s="55"/>
      <c r="D6" s="58"/>
      <c r="E6" s="61"/>
      <c r="F6" s="61"/>
      <c r="G6" s="5" t="s">
        <v>112</v>
      </c>
      <c r="H6" s="14">
        <v>21.57</v>
      </c>
      <c r="I6" s="30" t="str">
        <f t="shared" si="0"/>
        <v>Descartado</v>
      </c>
    </row>
    <row r="7" spans="1:9">
      <c r="A7" s="50"/>
      <c r="B7" s="52"/>
      <c r="C7" s="55"/>
      <c r="D7" s="58"/>
      <c r="E7" s="61"/>
      <c r="F7" s="61"/>
      <c r="G7" s="5" t="s">
        <v>177</v>
      </c>
      <c r="H7" s="14">
        <v>7.99</v>
      </c>
      <c r="I7" s="30">
        <f t="shared" si="0"/>
        <v>7.99</v>
      </c>
    </row>
    <row r="8" spans="1:9">
      <c r="A8" s="50"/>
      <c r="B8" s="52"/>
      <c r="C8" s="55"/>
      <c r="D8" s="58"/>
      <c r="E8" s="61"/>
      <c r="F8" s="61"/>
      <c r="G8" s="5" t="s">
        <v>110</v>
      </c>
      <c r="H8" s="14">
        <v>9.9</v>
      </c>
      <c r="I8" s="30">
        <f t="shared" si="0"/>
        <v>9.9</v>
      </c>
    </row>
    <row r="9" spans="1:9">
      <c r="A9" s="50"/>
      <c r="B9" s="52"/>
      <c r="C9" s="55"/>
      <c r="D9" s="58"/>
      <c r="E9" s="61"/>
      <c r="F9" s="61"/>
      <c r="G9" s="5" t="s">
        <v>132</v>
      </c>
      <c r="H9" s="14">
        <v>15.14</v>
      </c>
      <c r="I9" s="30">
        <f t="shared" si="0"/>
        <v>15.14</v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5.6878990179235132</v>
      </c>
      <c r="B20" s="20">
        <f>COUNT(H3:H17)</f>
        <v>7</v>
      </c>
      <c r="C20" s="21">
        <f>IF(B20&lt;2,"N/A",(A20/D20))</f>
        <v>0.38071613239113211</v>
      </c>
      <c r="D20" s="22">
        <f>ROUND(AVERAGE(H3:H17),2)</f>
        <v>14.94</v>
      </c>
      <c r="E20" s="23">
        <f>IFERROR(ROUND(IF(B20&lt;2,"N/A",(IF(C20&lt;=25%,"N/A",AVERAGE(I3:I17)))),2),"N/A")</f>
        <v>12.15</v>
      </c>
      <c r="F20" s="23">
        <f>ROUND(MEDIAN(H3:H17),2)</f>
        <v>15.14</v>
      </c>
      <c r="G20" s="24" t="str">
        <f>INDEX(G3:G17,MATCH(H20,H3:H17,0))</f>
        <v>Diba 695</v>
      </c>
      <c r="H20" s="25">
        <f>MIN(H3:H17)</f>
        <v>7.99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12.15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741.15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67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69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92</v>
      </c>
      <c r="C3" s="54" t="s">
        <v>8</v>
      </c>
      <c r="D3" s="57">
        <v>1984</v>
      </c>
      <c r="E3" s="60">
        <f>IF(C20&lt;=25%,D20,MIN(E20:F20))</f>
        <v>30.48</v>
      </c>
      <c r="F3" s="60">
        <f>MIN(H3:H17)</f>
        <v>6</v>
      </c>
      <c r="G3" s="5" t="s">
        <v>111</v>
      </c>
      <c r="H3" s="14">
        <v>41.08</v>
      </c>
      <c r="I3" s="30">
        <f>IF(H3="","",(IF($C$20&lt;25%,"N/A",IF(H3&lt;=($D$20+$A$20),H3,"Descartado"))))</f>
        <v>41.08</v>
      </c>
    </row>
    <row r="4" spans="1:9">
      <c r="A4" s="50"/>
      <c r="B4" s="52"/>
      <c r="C4" s="55"/>
      <c r="D4" s="58"/>
      <c r="E4" s="61"/>
      <c r="F4" s="61"/>
      <c r="G4" s="5" t="s">
        <v>128</v>
      </c>
      <c r="H4" s="14">
        <v>88.35</v>
      </c>
      <c r="I4" s="30" t="str">
        <f t="shared" ref="I4:I17" si="0">IF(H4="","",(IF($C$20&lt;25%,"N/A",IF(H4&lt;=($D$20+$A$20),H4,"Descartado"))))</f>
        <v>Descartado</v>
      </c>
    </row>
    <row r="5" spans="1:9">
      <c r="A5" s="50"/>
      <c r="B5" s="52"/>
      <c r="C5" s="55"/>
      <c r="D5" s="58"/>
      <c r="E5" s="61"/>
      <c r="F5" s="61"/>
      <c r="G5" s="5" t="s">
        <v>171</v>
      </c>
      <c r="H5" s="14">
        <v>46.99</v>
      </c>
      <c r="I5" s="30">
        <f t="shared" si="0"/>
        <v>46.99</v>
      </c>
    </row>
    <row r="6" spans="1:9">
      <c r="A6" s="50"/>
      <c r="B6" s="52"/>
      <c r="C6" s="55"/>
      <c r="D6" s="58"/>
      <c r="E6" s="61"/>
      <c r="F6" s="61"/>
      <c r="G6" s="5" t="s">
        <v>113</v>
      </c>
      <c r="H6" s="14">
        <v>53.1</v>
      </c>
      <c r="I6" s="30">
        <f t="shared" si="0"/>
        <v>53.1</v>
      </c>
    </row>
    <row r="7" spans="1:9">
      <c r="A7" s="50"/>
      <c r="B7" s="52"/>
      <c r="C7" s="55"/>
      <c r="D7" s="58"/>
      <c r="E7" s="61"/>
      <c r="F7" s="61"/>
      <c r="G7" s="5" t="s">
        <v>114</v>
      </c>
      <c r="H7" s="14">
        <v>20.63</v>
      </c>
      <c r="I7" s="30">
        <f t="shared" si="0"/>
        <v>20.63</v>
      </c>
    </row>
    <row r="8" spans="1:9">
      <c r="A8" s="50"/>
      <c r="B8" s="52"/>
      <c r="C8" s="55"/>
      <c r="D8" s="58"/>
      <c r="E8" s="61"/>
      <c r="F8" s="61"/>
      <c r="G8" s="5" t="s">
        <v>115</v>
      </c>
      <c r="H8" s="14">
        <v>59.54</v>
      </c>
      <c r="I8" s="30">
        <f t="shared" si="0"/>
        <v>59.54</v>
      </c>
    </row>
    <row r="9" spans="1:9">
      <c r="A9" s="50"/>
      <c r="B9" s="52"/>
      <c r="C9" s="55"/>
      <c r="D9" s="58"/>
      <c r="E9" s="61"/>
      <c r="F9" s="61"/>
      <c r="G9" s="5" t="s">
        <v>116</v>
      </c>
      <c r="H9" s="14">
        <v>34</v>
      </c>
      <c r="I9" s="30">
        <f t="shared" si="0"/>
        <v>34</v>
      </c>
    </row>
    <row r="10" spans="1:9">
      <c r="A10" s="50"/>
      <c r="B10" s="52"/>
      <c r="C10" s="55"/>
      <c r="D10" s="58"/>
      <c r="E10" s="61"/>
      <c r="F10" s="61"/>
      <c r="G10" s="5" t="s">
        <v>163</v>
      </c>
      <c r="H10" s="14">
        <v>6</v>
      </c>
      <c r="I10" s="30">
        <f t="shared" si="0"/>
        <v>6</v>
      </c>
    </row>
    <row r="11" spans="1:9">
      <c r="A11" s="50"/>
      <c r="B11" s="52"/>
      <c r="C11" s="55"/>
      <c r="D11" s="58"/>
      <c r="E11" s="61"/>
      <c r="F11" s="61"/>
      <c r="G11" s="5" t="s">
        <v>164</v>
      </c>
      <c r="H11" s="14">
        <v>6</v>
      </c>
      <c r="I11" s="30">
        <f t="shared" si="0"/>
        <v>6</v>
      </c>
    </row>
    <row r="12" spans="1:9">
      <c r="A12" s="50"/>
      <c r="B12" s="52"/>
      <c r="C12" s="55"/>
      <c r="D12" s="58"/>
      <c r="E12" s="61"/>
      <c r="F12" s="61"/>
      <c r="G12" s="5" t="s">
        <v>165</v>
      </c>
      <c r="H12" s="14">
        <v>7</v>
      </c>
      <c r="I12" s="30">
        <f t="shared" si="0"/>
        <v>7</v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27.109170014754955</v>
      </c>
      <c r="B20" s="20">
        <f>COUNT(H3:H17)</f>
        <v>10</v>
      </c>
      <c r="C20" s="21">
        <f>IF(B20&lt;2,"N/A",(A20/D20))</f>
        <v>0.74742679941425294</v>
      </c>
      <c r="D20" s="22">
        <f>ROUND(AVERAGE(H3:H17),2)</f>
        <v>36.270000000000003</v>
      </c>
      <c r="E20" s="23">
        <f>IFERROR(ROUND(IF(B20&lt;2,"N/A",(IF(C20&lt;=25%,"N/A",AVERAGE(I3:I17)))),2),"N/A")</f>
        <v>30.48</v>
      </c>
      <c r="F20" s="23">
        <f>ROUND(MEDIAN(H3:H17),2)</f>
        <v>37.54</v>
      </c>
      <c r="G20" s="24" t="str">
        <f>INDEX(G3:G17,MATCH(H20,H3:H17,0))</f>
        <v>GR Trade - Pregão Inst Federal Educação</v>
      </c>
      <c r="H20" s="25">
        <f>MIN(H3:H17)</f>
        <v>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30.48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60472.32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77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79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93</v>
      </c>
      <c r="C3" s="54" t="s">
        <v>8</v>
      </c>
      <c r="D3" s="72">
        <v>122</v>
      </c>
      <c r="E3" s="60">
        <f>IF(C20&lt;=25%,D20,MIN(E20:F20))</f>
        <v>5.81</v>
      </c>
      <c r="F3" s="60">
        <f>MIN(H3:H17)</f>
        <v>2.4</v>
      </c>
      <c r="G3" s="5" t="s">
        <v>128</v>
      </c>
      <c r="H3" s="14">
        <v>11.6</v>
      </c>
      <c r="I3" s="30" t="str">
        <f t="shared" ref="I3:I9" si="0">IF(H3="","",(IF($C$20&lt;25%,"N/A",IF(H3&lt;=($D$20+$A$20),H3,"Descartado"))))</f>
        <v>Descartado</v>
      </c>
    </row>
    <row r="4" spans="1:9">
      <c r="A4" s="50"/>
      <c r="B4" s="52"/>
      <c r="C4" s="55"/>
      <c r="D4" s="58"/>
      <c r="E4" s="61"/>
      <c r="F4" s="61"/>
      <c r="G4" s="5" t="s">
        <v>117</v>
      </c>
      <c r="H4" s="14">
        <v>11.3</v>
      </c>
      <c r="I4" s="30" t="str">
        <f t="shared" si="0"/>
        <v>Descartado</v>
      </c>
    </row>
    <row r="5" spans="1:9">
      <c r="A5" s="50"/>
      <c r="B5" s="52"/>
      <c r="C5" s="55"/>
      <c r="D5" s="58"/>
      <c r="E5" s="61"/>
      <c r="F5" s="61"/>
      <c r="G5" s="5" t="s">
        <v>113</v>
      </c>
      <c r="H5" s="14">
        <v>6.56</v>
      </c>
      <c r="I5" s="30">
        <f t="shared" si="0"/>
        <v>6.56</v>
      </c>
    </row>
    <row r="6" spans="1:9">
      <c r="A6" s="50"/>
      <c r="B6" s="52"/>
      <c r="C6" s="55"/>
      <c r="D6" s="58"/>
      <c r="E6" s="61"/>
      <c r="F6" s="61"/>
      <c r="G6" s="5" t="s">
        <v>118</v>
      </c>
      <c r="H6" s="14">
        <v>3</v>
      </c>
      <c r="I6" s="30">
        <f t="shared" si="0"/>
        <v>3</v>
      </c>
    </row>
    <row r="7" spans="1:9">
      <c r="A7" s="50"/>
      <c r="B7" s="52"/>
      <c r="C7" s="55"/>
      <c r="D7" s="58"/>
      <c r="E7" s="61"/>
      <c r="F7" s="61"/>
      <c r="G7" s="5" t="s">
        <v>119</v>
      </c>
      <c r="H7" s="14">
        <v>9.5</v>
      </c>
      <c r="I7" s="30">
        <f t="shared" si="0"/>
        <v>9.5</v>
      </c>
    </row>
    <row r="8" spans="1:9">
      <c r="A8" s="50"/>
      <c r="B8" s="52"/>
      <c r="C8" s="55"/>
      <c r="D8" s="58"/>
      <c r="E8" s="61"/>
      <c r="F8" s="61"/>
      <c r="G8" s="5" t="s">
        <v>120</v>
      </c>
      <c r="H8" s="14">
        <v>8.5500000000000007</v>
      </c>
      <c r="I8" s="30">
        <f t="shared" si="0"/>
        <v>8.5500000000000007</v>
      </c>
    </row>
    <row r="9" spans="1:9">
      <c r="A9" s="50"/>
      <c r="B9" s="52"/>
      <c r="C9" s="55"/>
      <c r="D9" s="58"/>
      <c r="E9" s="61"/>
      <c r="F9" s="61"/>
      <c r="G9" s="5" t="s">
        <v>121</v>
      </c>
      <c r="H9" s="14">
        <v>7.5</v>
      </c>
      <c r="I9" s="30">
        <f t="shared" si="0"/>
        <v>7.5</v>
      </c>
    </row>
    <row r="10" spans="1:9">
      <c r="A10" s="50"/>
      <c r="B10" s="52"/>
      <c r="C10" s="55"/>
      <c r="D10" s="58"/>
      <c r="E10" s="61"/>
      <c r="F10" s="61"/>
      <c r="G10" s="5" t="s">
        <v>160</v>
      </c>
      <c r="H10" s="14">
        <v>5.4</v>
      </c>
      <c r="I10" s="30">
        <f t="shared" ref="I10:I17" si="1">IF(H10="","",(IF($C$20&lt;25%,"N/A",IF(H10&lt;=($D$20+$A$20),H10,"Descartado"))))</f>
        <v>5.4</v>
      </c>
    </row>
    <row r="11" spans="1:9">
      <c r="A11" s="50"/>
      <c r="B11" s="52"/>
      <c r="C11" s="55"/>
      <c r="D11" s="58"/>
      <c r="E11" s="61"/>
      <c r="F11" s="61"/>
      <c r="G11" s="5" t="s">
        <v>161</v>
      </c>
      <c r="H11" s="14">
        <v>3.6</v>
      </c>
      <c r="I11" s="30">
        <f t="shared" si="1"/>
        <v>3.6</v>
      </c>
    </row>
    <row r="12" spans="1:9">
      <c r="A12" s="50"/>
      <c r="B12" s="52"/>
      <c r="C12" s="55"/>
      <c r="D12" s="58"/>
      <c r="E12" s="61"/>
      <c r="F12" s="61"/>
      <c r="G12" s="5" t="s">
        <v>162</v>
      </c>
      <c r="H12" s="14">
        <v>2.4</v>
      </c>
      <c r="I12" s="30">
        <f t="shared" si="1"/>
        <v>2.4</v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1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1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1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1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1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3.3331881635055236</v>
      </c>
      <c r="B20" s="20">
        <f>COUNT(H3:H17)</f>
        <v>10</v>
      </c>
      <c r="C20" s="21">
        <f>IF(B20&lt;2,"N/A",(A20/D20))</f>
        <v>0.48028647889128578</v>
      </c>
      <c r="D20" s="22">
        <f>ROUND(AVERAGE(H3:H17),2)</f>
        <v>6.94</v>
      </c>
      <c r="E20" s="23">
        <f>IFERROR(ROUND(IF(B20&lt;2,"N/A",(IF(C20&lt;=25%,"N/A",AVERAGE(I3:I17)))),2),"N/A")</f>
        <v>5.81</v>
      </c>
      <c r="F20" s="23">
        <f>ROUND(MEDIAN(H3:H17),2)</f>
        <v>7.03</v>
      </c>
      <c r="G20" s="24" t="str">
        <f>INDEX(G3:G17,MATCH(H20,H3:H17,0))</f>
        <v>Quality Atacado - Pregão Comando Exército</v>
      </c>
      <c r="H20" s="25">
        <f>MIN(H3:H17)</f>
        <v>2.4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5.81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708.81999999999994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87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89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4" sqref="H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94</v>
      </c>
      <c r="C3" s="54" t="s">
        <v>129</v>
      </c>
      <c r="D3" s="72">
        <v>610</v>
      </c>
      <c r="E3" s="60">
        <f>IF(C20&lt;=25%,D20,MIN(E20:F20))</f>
        <v>2.85</v>
      </c>
      <c r="F3" s="60">
        <f>MIN(H3:H17)</f>
        <v>1.8032786885245902</v>
      </c>
      <c r="G3" s="5" t="s">
        <v>122</v>
      </c>
      <c r="H3" s="14">
        <f>990.4/305</f>
        <v>3.2472131147540981</v>
      </c>
      <c r="I3" s="30">
        <f>IF(H3="","",(IF($C$20&lt;25%,"N/A",IF(H3&lt;=($D$20+$A$20),H3,"Descartado"))))</f>
        <v>3.2472131147540981</v>
      </c>
    </row>
    <row r="4" spans="1:9">
      <c r="A4" s="50"/>
      <c r="B4" s="52"/>
      <c r="C4" s="55"/>
      <c r="D4" s="58"/>
      <c r="E4" s="61"/>
      <c r="F4" s="61"/>
      <c r="G4" s="5" t="s">
        <v>178</v>
      </c>
      <c r="H4" s="14">
        <f>1079.9/305</f>
        <v>3.5406557377049181</v>
      </c>
      <c r="I4" s="30">
        <f t="shared" ref="I4:I17" si="0">IF(H4="","",(IF($C$20&lt;25%,"N/A",IF(H4&lt;=($D$20+$A$20),H4,"Descartado"))))</f>
        <v>3.5406557377049181</v>
      </c>
    </row>
    <row r="5" spans="1:9">
      <c r="A5" s="50"/>
      <c r="B5" s="52"/>
      <c r="C5" s="55"/>
      <c r="D5" s="58"/>
      <c r="E5" s="61"/>
      <c r="F5" s="61"/>
      <c r="G5" s="5" t="s">
        <v>123</v>
      </c>
      <c r="H5" s="14">
        <f>1529.41/305</f>
        <v>5.0144590163934426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 t="s">
        <v>124</v>
      </c>
      <c r="H6" s="14">
        <f>966.9/305</f>
        <v>3.1701639344262293</v>
      </c>
      <c r="I6" s="30">
        <f t="shared" si="0"/>
        <v>3.1701639344262293</v>
      </c>
    </row>
    <row r="7" spans="1:9">
      <c r="A7" s="50"/>
      <c r="B7" s="52"/>
      <c r="C7" s="55"/>
      <c r="D7" s="58"/>
      <c r="E7" s="61"/>
      <c r="F7" s="61"/>
      <c r="G7" s="5" t="s">
        <v>125</v>
      </c>
      <c r="H7" s="14">
        <f>1119.99/305</f>
        <v>3.6720983606557378</v>
      </c>
      <c r="I7" s="30">
        <f t="shared" si="0"/>
        <v>3.6720983606557378</v>
      </c>
    </row>
    <row r="8" spans="1:9">
      <c r="A8" s="50"/>
      <c r="B8" s="52"/>
      <c r="C8" s="55"/>
      <c r="D8" s="58"/>
      <c r="E8" s="61"/>
      <c r="F8" s="61"/>
      <c r="G8" s="5" t="s">
        <v>126</v>
      </c>
      <c r="H8" s="14">
        <f>1038.08/305</f>
        <v>3.4035409836065571</v>
      </c>
      <c r="I8" s="30">
        <f t="shared" si="0"/>
        <v>3.4035409836065571</v>
      </c>
    </row>
    <row r="9" spans="1:9">
      <c r="A9" s="50"/>
      <c r="B9" s="52"/>
      <c r="C9" s="55"/>
      <c r="D9" s="58"/>
      <c r="E9" s="61"/>
      <c r="F9" s="61"/>
      <c r="G9" s="5" t="s">
        <v>168</v>
      </c>
      <c r="H9" s="14">
        <f>550/305</f>
        <v>1.8032786885245902</v>
      </c>
      <c r="I9" s="30">
        <f t="shared" si="0"/>
        <v>1.8032786885245902</v>
      </c>
    </row>
    <row r="10" spans="1:9">
      <c r="A10" s="50"/>
      <c r="B10" s="52"/>
      <c r="C10" s="55"/>
      <c r="D10" s="58"/>
      <c r="E10" s="61"/>
      <c r="F10" s="61"/>
      <c r="G10" s="5" t="s">
        <v>166</v>
      </c>
      <c r="H10" s="14">
        <f>600/305</f>
        <v>1.9672131147540983</v>
      </c>
      <c r="I10" s="30">
        <f t="shared" si="0"/>
        <v>1.9672131147540983</v>
      </c>
    </row>
    <row r="11" spans="1:9">
      <c r="A11" s="50"/>
      <c r="B11" s="52"/>
      <c r="C11" s="55"/>
      <c r="D11" s="58"/>
      <c r="E11" s="61"/>
      <c r="F11" s="61"/>
      <c r="G11" s="5" t="s">
        <v>167</v>
      </c>
      <c r="H11" s="14">
        <f>600/305</f>
        <v>1.9672131147540983</v>
      </c>
      <c r="I11" s="30">
        <f t="shared" si="0"/>
        <v>1.9672131147540983</v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1.0339130406421524</v>
      </c>
      <c r="B20" s="20">
        <f>COUNT(H3:H17)</f>
        <v>9</v>
      </c>
      <c r="C20" s="21">
        <f>IF(B20&lt;2,"N/A",(A20/D20))</f>
        <v>0.33459968952820468</v>
      </c>
      <c r="D20" s="22">
        <f>ROUND(AVERAGE(H3:H17),2)</f>
        <v>3.09</v>
      </c>
      <c r="E20" s="23">
        <f>IFERROR(ROUND(IF(B20&lt;2,"N/A",(IF(C20&lt;=25%,"N/A",AVERAGE(I3:I17)))),2),"N/A")</f>
        <v>2.85</v>
      </c>
      <c r="F20" s="23">
        <f>ROUND(MEDIAN(H3:H17),2)</f>
        <v>3.25</v>
      </c>
      <c r="G20" s="24" t="str">
        <f>INDEX(G3:G17,MATCH(H20,H3:H17,0))</f>
        <v>Rosemary Olinda - Pregão TRE-ES</v>
      </c>
      <c r="H20" s="25">
        <f>MIN(H3:H17)</f>
        <v>1.8032786885245902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2.85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1738.5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90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39</v>
      </c>
      <c r="C3" s="54" t="s">
        <v>8</v>
      </c>
      <c r="D3" s="72">
        <v>10</v>
      </c>
      <c r="E3" s="60">
        <f>IF(C20&lt;=25%,D20,MIN(E20:F20))</f>
        <v>757.25</v>
      </c>
      <c r="F3" s="60">
        <f>MIN(H3:H17)</f>
        <v>697.5</v>
      </c>
      <c r="G3" s="5" t="s">
        <v>36</v>
      </c>
      <c r="H3" s="14">
        <v>697.5</v>
      </c>
      <c r="I3" s="30">
        <f>IF(H3="","",(IF($C$20&lt;25%,"N/A",IF(H3&lt;=($D$20+$A$20),H3,"Descartado"))))</f>
        <v>697.5</v>
      </c>
    </row>
    <row r="4" spans="1:9">
      <c r="A4" s="50"/>
      <c r="B4" s="52"/>
      <c r="C4" s="55"/>
      <c r="D4" s="58"/>
      <c r="E4" s="61"/>
      <c r="F4" s="61"/>
      <c r="G4" s="5" t="s">
        <v>37</v>
      </c>
      <c r="H4" s="14">
        <v>817</v>
      </c>
      <c r="I4" s="30">
        <f t="shared" ref="I4:I17" si="0">IF(H4="","",(IF($C$20&lt;25%,"N/A",IF(H4&lt;=($D$20+$A$20),H4,"Descartado"))))</f>
        <v>817</v>
      </c>
    </row>
    <row r="5" spans="1:9">
      <c r="A5" s="50"/>
      <c r="B5" s="52"/>
      <c r="C5" s="55"/>
      <c r="D5" s="58"/>
      <c r="E5" s="61"/>
      <c r="F5" s="61"/>
      <c r="G5" s="5" t="s">
        <v>38</v>
      </c>
      <c r="H5" s="14">
        <v>1125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/>
      <c r="H6" s="14"/>
      <c r="I6" s="30" t="str">
        <f t="shared" si="0"/>
        <v/>
      </c>
    </row>
    <row r="7" spans="1:9">
      <c r="A7" s="50"/>
      <c r="B7" s="52"/>
      <c r="C7" s="55"/>
      <c r="D7" s="58"/>
      <c r="E7" s="61"/>
      <c r="F7" s="61"/>
      <c r="G7" s="5"/>
      <c r="H7" s="14"/>
      <c r="I7" s="30" t="str">
        <f t="shared" si="0"/>
        <v/>
      </c>
    </row>
    <row r="8" spans="1:9">
      <c r="A8" s="50"/>
      <c r="B8" s="52"/>
      <c r="C8" s="55"/>
      <c r="D8" s="58"/>
      <c r="E8" s="61"/>
      <c r="F8" s="61"/>
      <c r="G8" s="5"/>
      <c r="H8" s="14"/>
      <c r="I8" s="30" t="str">
        <f t="shared" si="0"/>
        <v/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220.56763890773564</v>
      </c>
      <c r="B20" s="20">
        <f>COUNT(H3:H17)</f>
        <v>3</v>
      </c>
      <c r="C20" s="21">
        <f>IF(B20&lt;2,"N/A",(A20/D20))</f>
        <v>0.25069347363437894</v>
      </c>
      <c r="D20" s="22">
        <f>ROUND(AVERAGE(H3:H17),2)</f>
        <v>879.83</v>
      </c>
      <c r="E20" s="23">
        <f>IFERROR(ROUND(IF(B20&lt;2,"N/A",(IF(C20&lt;=25%,"N/A",AVERAGE(I3:I17)))),2),"N/A")</f>
        <v>757.25</v>
      </c>
      <c r="F20" s="23">
        <f>ROUND(MEDIAN(H3:H17),2)</f>
        <v>817</v>
      </c>
      <c r="G20" s="24" t="str">
        <f>INDEX(G3:G17,MATCH(H20,H3:H17,0))</f>
        <v>NÃO ALTERE AS FÓRMULAS LTDA</v>
      </c>
      <c r="H20" s="25">
        <f>MIN(H3:H17)</f>
        <v>697.5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757.25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7572.5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N23"/>
  <sheetViews>
    <sheetView tabSelected="1" view="pageBreakPreview" topLeftCell="A4" zoomScaleNormal="100" zoomScaleSheetLayoutView="100" workbookViewId="0">
      <selection activeCell="B10" sqref="B10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8" spans="1:7" ht="15.75">
      <c r="A8" s="73" t="s">
        <v>14</v>
      </c>
      <c r="B8" s="73"/>
      <c r="C8" s="73"/>
      <c r="D8" s="73"/>
      <c r="E8" s="73"/>
      <c r="F8" s="73"/>
    </row>
    <row r="9" spans="1:7" ht="25.5">
      <c r="A9" s="41" t="s">
        <v>15</v>
      </c>
      <c r="B9" s="41" t="s">
        <v>16</v>
      </c>
      <c r="C9" s="41" t="s">
        <v>17</v>
      </c>
      <c r="D9" s="41" t="s">
        <v>18</v>
      </c>
      <c r="E9" s="41" t="s">
        <v>13</v>
      </c>
      <c r="F9" s="41" t="s">
        <v>19</v>
      </c>
    </row>
    <row r="10" spans="1:7" ht="25.5">
      <c r="A10" s="42">
        <v>1</v>
      </c>
      <c r="B10" s="43" t="str">
        <f>Item1!B3</f>
        <v xml:space="preserve">TOMADA 2P+T 10A, 250V,CONJUNTO MONTADO PARA SOBREPOR 4" X 2" (CAIXA + MÓDULO)
</v>
      </c>
      <c r="C10" s="42" t="str">
        <f>Item1!C3</f>
        <v>unidade</v>
      </c>
      <c r="D10" s="42">
        <f>Item1!D3</f>
        <v>2976</v>
      </c>
      <c r="E10" s="44">
        <f>Item1!E3</f>
        <v>10.59</v>
      </c>
      <c r="F10" s="44">
        <f t="shared" ref="F10:F22" si="0">(ROUND(E10,2)*D10)</f>
        <v>31515.84</v>
      </c>
      <c r="G10" s="3" t="str">
        <f>IF(F10&gt;80000,"necessária a subdivisão deste item em cotas!","")</f>
        <v/>
      </c>
    </row>
    <row r="11" spans="1:7" ht="25.5">
      <c r="A11" s="42">
        <v>2</v>
      </c>
      <c r="B11" s="43" t="str">
        <f>Item2!B3</f>
        <v xml:space="preserve">TOMADA 2P+T 20A 250V C/PLACA 4"x2" BRANCA + SUPORTE COMPOSE
</v>
      </c>
      <c r="C11" s="42" t="str">
        <f>Item2!C3</f>
        <v>unidade</v>
      </c>
      <c r="D11" s="42">
        <f>Item2!D3</f>
        <v>61</v>
      </c>
      <c r="E11" s="44">
        <f>Item2!E3</f>
        <v>12.15</v>
      </c>
      <c r="F11" s="44">
        <f t="shared" si="0"/>
        <v>741.15</v>
      </c>
    </row>
    <row r="12" spans="1:7" ht="25.5">
      <c r="A12" s="42">
        <v>3</v>
      </c>
      <c r="B12" s="43" t="str">
        <f>Item3!B3</f>
        <v xml:space="preserve">CONECTOR FÊMEA RJ-45, CATEGORIA 6
</v>
      </c>
      <c r="C12" s="42" t="str">
        <f>Item3!C3</f>
        <v>unidade</v>
      </c>
      <c r="D12" s="42">
        <f>Item3!D3</f>
        <v>1984</v>
      </c>
      <c r="E12" s="44">
        <f>Item3!E3</f>
        <v>30.48</v>
      </c>
      <c r="F12" s="44">
        <f t="shared" si="0"/>
        <v>60472.32</v>
      </c>
    </row>
    <row r="13" spans="1:7" ht="25.5">
      <c r="A13" s="42">
        <v>4</v>
      </c>
      <c r="B13" s="43" t="str">
        <f>Item4!B3</f>
        <v xml:space="preserve">CONECTOR MACHO RJ-45, CATEGORIA 6
</v>
      </c>
      <c r="C13" s="42" t="str">
        <f>Item4!C3</f>
        <v>unidade</v>
      </c>
      <c r="D13" s="42">
        <f>Item4!D3</f>
        <v>122</v>
      </c>
      <c r="E13" s="44">
        <f>Item4!E3</f>
        <v>5.81</v>
      </c>
      <c r="F13" s="44">
        <f t="shared" si="0"/>
        <v>708.81999999999994</v>
      </c>
    </row>
    <row r="14" spans="1:7">
      <c r="A14" s="42">
        <v>5</v>
      </c>
      <c r="B14" s="43" t="str">
        <f>Item5!B3</f>
        <v>CABO DE PAR TRANCADO UTP, 4 PARES, CATEGORIA 6</v>
      </c>
      <c r="C14" s="42" t="str">
        <f>Item5!C3</f>
        <v>Metro</v>
      </c>
      <c r="D14" s="42">
        <f>Item5!D3</f>
        <v>610</v>
      </c>
      <c r="E14" s="44">
        <f>Item5!E3</f>
        <v>2.85</v>
      </c>
      <c r="F14" s="44">
        <f t="shared" si="0"/>
        <v>1738.5</v>
      </c>
    </row>
    <row r="15" spans="1:7" ht="38.25">
      <c r="A15" s="42">
        <v>6</v>
      </c>
      <c r="B15" s="43" t="str">
        <f>Item6!B3</f>
        <v xml:space="preserve">CABO MULTIPOLAR DE COBRE, FLEXIVEL, CLASSE 4 OU 5, ISOLACAO EM HEPR, COBERTURA EM PVC-ST2, ANTICHAMA BWF-B, 0,6/1 KV, 3 CONDUTORES DE 2,5 MM2
</v>
      </c>
      <c r="C15" s="42" t="str">
        <f>Item6!C3</f>
        <v>Metro</v>
      </c>
      <c r="D15" s="42">
        <f>Item6!D3</f>
        <v>3361</v>
      </c>
      <c r="E15" s="44">
        <f>Item6!E3</f>
        <v>7.76</v>
      </c>
      <c r="F15" s="44">
        <f t="shared" si="0"/>
        <v>26081.360000000001</v>
      </c>
    </row>
    <row r="16" spans="1:7" ht="25.5">
      <c r="A16" s="42">
        <v>7</v>
      </c>
      <c r="B16" s="43" t="str">
        <f>Item7!B3</f>
        <v xml:space="preserve">CABO FLEXIVEL PVC 750 V, 2 CONDUTORES DE 1,5 MM2
</v>
      </c>
      <c r="C16" s="42" t="str">
        <f>Item7!C3</f>
        <v>Metros</v>
      </c>
      <c r="D16" s="42">
        <f>Item7!D3</f>
        <v>726</v>
      </c>
      <c r="E16" s="44">
        <f>Item7!E3</f>
        <v>4.12</v>
      </c>
      <c r="F16" s="44">
        <f t="shared" si="0"/>
        <v>2991.12</v>
      </c>
    </row>
    <row r="17" spans="1:6">
      <c r="A17" s="42">
        <v>8</v>
      </c>
      <c r="B17" s="43" t="str">
        <f>Item8!B3</f>
        <v>CAIXA DE SOBREPOR EM PVC, PARA 02 CONECTORES RJ-45, COM ESPELHO</v>
      </c>
      <c r="C17" s="42" t="str">
        <f>Item8!C3</f>
        <v>unidade</v>
      </c>
      <c r="D17" s="42">
        <f>Item8!D3</f>
        <v>1984</v>
      </c>
      <c r="E17" s="44">
        <f>Item8!E3</f>
        <v>14.25</v>
      </c>
      <c r="F17" s="44">
        <f t="shared" si="0"/>
        <v>28272</v>
      </c>
    </row>
    <row r="18" spans="1:6" ht="25.5">
      <c r="A18" s="42">
        <v>9</v>
      </c>
      <c r="B18" s="43" t="str">
        <f>Item9!B3</f>
        <v xml:space="preserve">INTERRUPTOR SIMPLES 10A, 250V, CONJUNTO MONTADO PARA SOBREPOR 4" X 2" (CAIXA +MÓDULO)
</v>
      </c>
      <c r="C18" s="42" t="str">
        <f>Item9!C3</f>
        <v>unidade</v>
      </c>
      <c r="D18" s="42">
        <f>Item9!D3</f>
        <v>121</v>
      </c>
      <c r="E18" s="44">
        <f>Item9!E3</f>
        <v>12.5</v>
      </c>
      <c r="F18" s="44">
        <f t="shared" si="0"/>
        <v>1512.5</v>
      </c>
    </row>
    <row r="19" spans="1:6" ht="25.5">
      <c r="A19" s="42">
        <v>10</v>
      </c>
      <c r="B19" s="43" t="str">
        <f>Item10!B3</f>
        <v xml:space="preserve">ABRAÇADEIRA DE NYLON PARA AMARRACAO DE CABOS, COMPRIMENTO DE 200 X *4,6* MM
</v>
      </c>
      <c r="C19" s="42" t="str">
        <f>Item10!C3</f>
        <v>unidade</v>
      </c>
      <c r="D19" s="42">
        <f>Item10!D3</f>
        <v>1000</v>
      </c>
      <c r="E19" s="44">
        <f>Item10!E3</f>
        <v>0.19</v>
      </c>
      <c r="F19" s="44">
        <f t="shared" si="0"/>
        <v>190</v>
      </c>
    </row>
    <row r="20" spans="1:6" ht="25.5">
      <c r="A20" s="42">
        <v>11</v>
      </c>
      <c r="B20" s="43" t="str">
        <f>Item11!B3</f>
        <v xml:space="preserve">CORDÃO DUPLEX SM BLI LC-UPC/LC-UPC3 2.5M LSZH AZ (A-B)
</v>
      </c>
      <c r="C20" s="42" t="str">
        <f>Item11!C3</f>
        <v>unidade</v>
      </c>
      <c r="D20" s="42">
        <f>Item11!D3</f>
        <v>50</v>
      </c>
      <c r="E20" s="44">
        <f>Item11!E3</f>
        <v>145.38</v>
      </c>
      <c r="F20" s="44">
        <f t="shared" si="0"/>
        <v>7269</v>
      </c>
    </row>
    <row r="21" spans="1:6" ht="25.5">
      <c r="A21" s="42">
        <v>12</v>
      </c>
      <c r="B21" s="43" t="str">
        <f>Item12!B3</f>
        <v xml:space="preserve">Patch Cord CAT. 6 LSZH  comprimento 2,0 mts, ref. GIGALAN GREEN
</v>
      </c>
      <c r="C21" s="42" t="str">
        <f>Item12!C3</f>
        <v>unidade</v>
      </c>
      <c r="D21" s="42">
        <f>Item12!D3</f>
        <v>1400</v>
      </c>
      <c r="E21" s="44">
        <f>Item12!E3</f>
        <v>105.87</v>
      </c>
      <c r="F21" s="44">
        <f t="shared" si="0"/>
        <v>148218</v>
      </c>
    </row>
    <row r="22" spans="1:6" ht="25.5">
      <c r="A22" s="42">
        <v>13</v>
      </c>
      <c r="B22" s="43" t="str">
        <f>Item13!B3</f>
        <v xml:space="preserve">Patch Cord CAT. 6 LSZH  comprimento 3.0 mts, ref. GIGALAN GREEN
</v>
      </c>
      <c r="C22" s="42" t="str">
        <f>Item13!C3</f>
        <v>unidade</v>
      </c>
      <c r="D22" s="42">
        <f>Item13!D3</f>
        <v>1400</v>
      </c>
      <c r="E22" s="44">
        <f>Item13!E3</f>
        <v>75.03</v>
      </c>
      <c r="F22" s="44">
        <f t="shared" si="0"/>
        <v>105042</v>
      </c>
    </row>
    <row r="23" spans="1:6" ht="15.75">
      <c r="A23" s="39"/>
      <c r="B23" s="39"/>
      <c r="C23" s="74" t="s">
        <v>20</v>
      </c>
      <c r="D23" s="75"/>
      <c r="E23" s="76"/>
      <c r="F23" s="40">
        <f>SUM(F10:F22)</f>
        <v>414752.61</v>
      </c>
    </row>
  </sheetData>
  <mergeCells count="2">
    <mergeCell ref="A8:F8"/>
    <mergeCell ref="C23:E23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headerFooter>
    <oddFooter>&amp;L&amp;"-,Negrito"&amp;12Estimativa em &amp;D</oddFooter>
  </headerFooter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view="pageBreakPreview" zoomScaleNormal="100" zoomScaleSheetLayoutView="100" workbookViewId="0">
      <selection activeCell="A102" sqref="A29:XFD102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3" t="s">
        <v>21</v>
      </c>
      <c r="B1" s="73"/>
      <c r="C1" s="73"/>
      <c r="D1" s="73"/>
      <c r="E1" s="73"/>
      <c r="F1" s="73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7" t="str">
        <f>Item1!G20</f>
        <v>Unicaserv</v>
      </c>
      <c r="C3" s="78"/>
      <c r="D3" s="78"/>
      <c r="E3" s="78"/>
      <c r="F3" s="79"/>
    </row>
    <row r="4" spans="1:6" s="2" customFormat="1" ht="25.5">
      <c r="A4" s="42">
        <v>1</v>
      </c>
      <c r="B4" s="43" t="str">
        <f>Item1!B3</f>
        <v xml:space="preserve">TOMADA 2P+T 10A, 250V,CONJUNTO MONTADO PARA SOBREPOR 4" X 2" (CAIXA + MÓDULO)
</v>
      </c>
      <c r="C4" s="42" t="str">
        <f>Item1!C3</f>
        <v>unidade</v>
      </c>
      <c r="D4" s="42">
        <f>Item1!D3</f>
        <v>2976</v>
      </c>
      <c r="E4" s="44">
        <f>Item1!F3</f>
        <v>6.75</v>
      </c>
      <c r="F4" s="44">
        <f>(ROUND(E4,2)*D4)</f>
        <v>20088</v>
      </c>
    </row>
    <row r="5" spans="1:6" s="2" customFormat="1" ht="17.25">
      <c r="A5" s="45" t="s">
        <v>22</v>
      </c>
      <c r="B5" s="77" t="str">
        <f>Item2!G20</f>
        <v>Diba 695</v>
      </c>
      <c r="C5" s="78"/>
      <c r="D5" s="78"/>
      <c r="E5" s="78"/>
      <c r="F5" s="79"/>
    </row>
    <row r="6" spans="1:6" ht="25.5">
      <c r="A6" s="42">
        <v>2</v>
      </c>
      <c r="B6" s="43" t="str">
        <f>Item2!B3</f>
        <v xml:space="preserve">TOMADA 2P+T 20A 250V C/PLACA 4"x2" BRANCA + SUPORTE COMPOSE
</v>
      </c>
      <c r="C6" s="42" t="str">
        <f>Item2!C3</f>
        <v>unidade</v>
      </c>
      <c r="D6" s="42">
        <f>Item2!D3</f>
        <v>61</v>
      </c>
      <c r="E6" s="44">
        <f>Item2!F3</f>
        <v>7.99</v>
      </c>
      <c r="F6" s="44">
        <f>(ROUND(E6,2)*D6)</f>
        <v>487.39</v>
      </c>
    </row>
    <row r="7" spans="1:6" ht="17.25">
      <c r="A7" s="45" t="s">
        <v>22</v>
      </c>
      <c r="B7" s="80" t="str">
        <f>Item3!G20</f>
        <v>GR Trade - Pregão Inst Federal Educação</v>
      </c>
      <c r="C7" s="81"/>
      <c r="D7" s="81"/>
      <c r="E7" s="81"/>
      <c r="F7" s="82"/>
    </row>
    <row r="8" spans="1:6" ht="25.5">
      <c r="A8" s="42">
        <v>3</v>
      </c>
      <c r="B8" s="43" t="str">
        <f>Item3!B3</f>
        <v xml:space="preserve">CONECTOR FÊMEA RJ-45, CATEGORIA 6
</v>
      </c>
      <c r="C8" s="42" t="str">
        <f>Item3!C3</f>
        <v>unidade</v>
      </c>
      <c r="D8" s="42">
        <f>Item3!D3</f>
        <v>1984</v>
      </c>
      <c r="E8" s="44">
        <f>Item3!F3</f>
        <v>6</v>
      </c>
      <c r="F8" s="44">
        <f>(ROUND(E8,2)*D8)</f>
        <v>11904</v>
      </c>
    </row>
    <row r="9" spans="1:6" ht="12.75" customHeight="1">
      <c r="A9" s="45" t="s">
        <v>22</v>
      </c>
      <c r="B9" s="80" t="str">
        <f>Item4!G20</f>
        <v>Quality Atacado - Pregão Comando Exército</v>
      </c>
      <c r="C9" s="81"/>
      <c r="D9" s="81"/>
      <c r="E9" s="81"/>
      <c r="F9" s="82"/>
    </row>
    <row r="10" spans="1:6" ht="25.5">
      <c r="A10" s="42">
        <v>4</v>
      </c>
      <c r="B10" s="43" t="str">
        <f>Item4!B3</f>
        <v xml:space="preserve">CONECTOR MACHO RJ-45, CATEGORIA 6
</v>
      </c>
      <c r="C10" s="42" t="str">
        <f>Item4!C3</f>
        <v>unidade</v>
      </c>
      <c r="D10" s="42">
        <f>Item4!D3</f>
        <v>122</v>
      </c>
      <c r="E10" s="44">
        <f>Item4!F3</f>
        <v>2.4</v>
      </c>
      <c r="F10" s="44">
        <f>(ROUND(E10,2)*D10)</f>
        <v>292.8</v>
      </c>
    </row>
    <row r="11" spans="1:6" ht="17.25">
      <c r="A11" s="45" t="s">
        <v>22</v>
      </c>
      <c r="B11" s="77" t="str">
        <f>Item5!G20</f>
        <v>Rosemary Olinda - Pregão TRE-ES</v>
      </c>
      <c r="C11" s="78"/>
      <c r="D11" s="78"/>
      <c r="E11" s="78"/>
      <c r="F11" s="79"/>
    </row>
    <row r="12" spans="1:6">
      <c r="A12" s="42">
        <v>5</v>
      </c>
      <c r="B12" s="43" t="str">
        <f>Item5!B3</f>
        <v>CABO DE PAR TRANCADO UTP, 4 PARES, CATEGORIA 6</v>
      </c>
      <c r="C12" s="42" t="str">
        <f>Item5!C3</f>
        <v>Metro</v>
      </c>
      <c r="D12" s="42">
        <f>Item5!D3</f>
        <v>610</v>
      </c>
      <c r="E12" s="44">
        <f>Item5!F3</f>
        <v>1.8032786885245902</v>
      </c>
      <c r="F12" s="44">
        <f>(ROUND(E12,2)*D12)</f>
        <v>1098</v>
      </c>
    </row>
    <row r="13" spans="1:6" ht="17.25">
      <c r="A13" s="45" t="s">
        <v>22</v>
      </c>
      <c r="B13" s="77" t="str">
        <f>Item6!G20</f>
        <v>Cordeiro</v>
      </c>
      <c r="C13" s="78"/>
      <c r="D13" s="78"/>
      <c r="E13" s="78"/>
      <c r="F13" s="79"/>
    </row>
    <row r="14" spans="1:6" ht="38.25">
      <c r="A14" s="42">
        <v>6</v>
      </c>
      <c r="B14" s="43" t="str">
        <f>Item6!B3</f>
        <v xml:space="preserve">CABO MULTIPOLAR DE COBRE, FLEXIVEL, CLASSE 4 OU 5, ISOLACAO EM HEPR, COBERTURA EM PVC-ST2, ANTICHAMA BWF-B, 0,6/1 KV, 3 CONDUTORES DE 2,5 MM2
</v>
      </c>
      <c r="C14" s="42" t="str">
        <f>Item6!C3</f>
        <v>Metro</v>
      </c>
      <c r="D14" s="42">
        <f>Item6!D3</f>
        <v>3361</v>
      </c>
      <c r="E14" s="44">
        <f>Item6!F3</f>
        <v>6.9989999999999997</v>
      </c>
      <c r="F14" s="44">
        <f>(ROUND(E14,2)*D14)</f>
        <v>23527</v>
      </c>
    </row>
    <row r="15" spans="1:6" ht="17.25">
      <c r="A15" s="45" t="s">
        <v>22</v>
      </c>
      <c r="B15" s="77" t="str">
        <f>Item7!G20</f>
        <v>GH Elétrica</v>
      </c>
      <c r="C15" s="78"/>
      <c r="D15" s="78"/>
      <c r="E15" s="78"/>
      <c r="F15" s="79"/>
    </row>
    <row r="16" spans="1:6" ht="25.5">
      <c r="A16" s="42">
        <v>7</v>
      </c>
      <c r="B16" s="43" t="str">
        <f>Item7!B3</f>
        <v xml:space="preserve">CABO FLEXIVEL PVC 750 V, 2 CONDUTORES DE 1,5 MM2
</v>
      </c>
      <c r="C16" s="42" t="str">
        <f>Item7!C3</f>
        <v>Metros</v>
      </c>
      <c r="D16" s="42">
        <f>Item7!D3</f>
        <v>726</v>
      </c>
      <c r="E16" s="44">
        <f>Item7!F3</f>
        <v>2.97</v>
      </c>
      <c r="F16" s="44">
        <f>(ROUND(E16,2)*D16)</f>
        <v>2156.2200000000003</v>
      </c>
    </row>
    <row r="17" spans="1:6" ht="17.25">
      <c r="A17" s="45" t="s">
        <v>22</v>
      </c>
      <c r="B17" s="77" t="str">
        <f>Item8!G20</f>
        <v>Unicaserv</v>
      </c>
      <c r="C17" s="78"/>
      <c r="D17" s="78"/>
      <c r="E17" s="78"/>
      <c r="F17" s="79"/>
    </row>
    <row r="18" spans="1:6">
      <c r="A18" s="42">
        <v>8</v>
      </c>
      <c r="B18" s="43" t="str">
        <f>Item8!B3</f>
        <v>CAIXA DE SOBREPOR EM PVC, PARA 02 CONECTORES RJ-45, COM ESPELHO</v>
      </c>
      <c r="C18" s="42" t="str">
        <f>Item8!C3</f>
        <v>unidade</v>
      </c>
      <c r="D18" s="42">
        <f>Item8!D3</f>
        <v>1984</v>
      </c>
      <c r="E18" s="44">
        <f>Item8!F3</f>
        <v>7.15</v>
      </c>
      <c r="F18" s="44">
        <f>(ROUND(E18,2)*D18)</f>
        <v>14185.6</v>
      </c>
    </row>
    <row r="19" spans="1:6" ht="17.25">
      <c r="A19" s="45" t="s">
        <v>22</v>
      </c>
      <c r="B19" s="77" t="str">
        <f>Item9!G20</f>
        <v>Ferramentas Kenedy</v>
      </c>
      <c r="C19" s="78"/>
      <c r="D19" s="78"/>
      <c r="E19" s="78"/>
      <c r="F19" s="79"/>
    </row>
    <row r="20" spans="1:6" ht="25.5">
      <c r="A20" s="42">
        <v>9</v>
      </c>
      <c r="B20" s="43" t="str">
        <f>Item9!B3</f>
        <v xml:space="preserve">INTERRUPTOR SIMPLES 10A, 250V, CONJUNTO MONTADO PARA SOBREPOR 4" X 2" (CAIXA +MÓDULO)
</v>
      </c>
      <c r="C20" s="42" t="str">
        <f>Item9!C3</f>
        <v>unidade</v>
      </c>
      <c r="D20" s="42">
        <f>Item9!D3</f>
        <v>121</v>
      </c>
      <c r="E20" s="44">
        <f>Item9!F3</f>
        <v>5.99</v>
      </c>
      <c r="F20" s="44">
        <f>(ROUND(E20,2)*D20)</f>
        <v>724.79000000000008</v>
      </c>
    </row>
    <row r="21" spans="1:6" ht="17.25">
      <c r="A21" s="45" t="s">
        <v>22</v>
      </c>
      <c r="B21" s="77" t="str">
        <f>Item10!G20</f>
        <v>Juliano José - Pregão Pref. Prudentopólis</v>
      </c>
      <c r="C21" s="78"/>
      <c r="D21" s="78"/>
      <c r="E21" s="78"/>
      <c r="F21" s="79"/>
    </row>
    <row r="22" spans="1:6" ht="25.5">
      <c r="A22" s="42">
        <v>10</v>
      </c>
      <c r="B22" s="43" t="str">
        <f>Item10!B3</f>
        <v xml:space="preserve">ABRAÇADEIRA DE NYLON PARA AMARRACAO DE CABOS, COMPRIMENTO DE 200 X *4,6* MM
</v>
      </c>
      <c r="C22" s="42" t="str">
        <f>Item10!C3</f>
        <v>unidade</v>
      </c>
      <c r="D22" s="42">
        <f>Item10!D3</f>
        <v>1000</v>
      </c>
      <c r="E22" s="44">
        <f>Item10!F3</f>
        <v>0.13200000000000001</v>
      </c>
      <c r="F22" s="44">
        <f>(ROUND(E22,2)*D22)</f>
        <v>130</v>
      </c>
    </row>
    <row r="23" spans="1:6" ht="17.25">
      <c r="A23" s="45" t="s">
        <v>22</v>
      </c>
      <c r="B23" s="77" t="str">
        <f>Item11!G20</f>
        <v>A Solução Cabos</v>
      </c>
      <c r="C23" s="78"/>
      <c r="D23" s="78"/>
      <c r="E23" s="78"/>
      <c r="F23" s="79"/>
    </row>
    <row r="24" spans="1:6" ht="25.5">
      <c r="A24" s="42">
        <v>11</v>
      </c>
      <c r="B24" s="43" t="str">
        <f>Item11!B3</f>
        <v xml:space="preserve">CORDÃO DUPLEX SM BLI LC-UPC/LC-UPC3 2.5M LSZH AZ (A-B)
</v>
      </c>
      <c r="C24" s="42" t="str">
        <f>Item11!C3</f>
        <v>unidade</v>
      </c>
      <c r="D24" s="42">
        <f>Item11!D3</f>
        <v>50</v>
      </c>
      <c r="E24" s="44">
        <f>Item11!F3</f>
        <v>88.03</v>
      </c>
      <c r="F24" s="44">
        <f>(ROUND(E24,2)*D24)</f>
        <v>4401.5</v>
      </c>
    </row>
    <row r="25" spans="1:6" ht="17.25">
      <c r="A25" s="45" t="s">
        <v>22</v>
      </c>
      <c r="B25" s="77" t="str">
        <f>Item12!G20</f>
        <v>Tel Cabos</v>
      </c>
      <c r="C25" s="78"/>
      <c r="D25" s="78"/>
      <c r="E25" s="78"/>
      <c r="F25" s="79"/>
    </row>
    <row r="26" spans="1:6" ht="25.5">
      <c r="A26" s="42">
        <v>12</v>
      </c>
      <c r="B26" s="43" t="str">
        <f>Item12!B3</f>
        <v xml:space="preserve">Patch Cord CAT. 6 LSZH  comprimento 2,0 mts, ref. GIGALAN GREEN
</v>
      </c>
      <c r="C26" s="42" t="str">
        <f>Item12!C3</f>
        <v>unidade</v>
      </c>
      <c r="D26" s="42">
        <f>Item12!D3</f>
        <v>1400</v>
      </c>
      <c r="E26" s="44">
        <f>Item12!F3</f>
        <v>74.209999999999994</v>
      </c>
      <c r="F26" s="44">
        <f>(ROUND(E26,2)*D26)</f>
        <v>103893.99999999999</v>
      </c>
    </row>
    <row r="27" spans="1:6" ht="17.25">
      <c r="A27" s="45" t="s">
        <v>22</v>
      </c>
      <c r="B27" s="77" t="str">
        <f>Item13!G20</f>
        <v>Wonder Cabos</v>
      </c>
      <c r="C27" s="78"/>
      <c r="D27" s="78"/>
      <c r="E27" s="78"/>
      <c r="F27" s="79"/>
    </row>
    <row r="28" spans="1:6" ht="25.5">
      <c r="A28" s="42">
        <v>13</v>
      </c>
      <c r="B28" s="43" t="str">
        <f>Item13!B3</f>
        <v xml:space="preserve">Patch Cord CAT. 6 LSZH  comprimento 3.0 mts, ref. GIGALAN GREEN
</v>
      </c>
      <c r="C28" s="42" t="str">
        <f>Item13!C3</f>
        <v>unidade</v>
      </c>
      <c r="D28" s="42">
        <f>Item13!D3</f>
        <v>1400</v>
      </c>
      <c r="E28" s="44">
        <f>Item13!F3</f>
        <v>55</v>
      </c>
      <c r="F28" s="44">
        <f>(ROUND(E28,2)*D28)</f>
        <v>77000</v>
      </c>
    </row>
    <row r="29" spans="1:6" ht="15.75">
      <c r="A29" s="39"/>
      <c r="B29" s="39"/>
      <c r="C29" s="74" t="s">
        <v>23</v>
      </c>
      <c r="D29" s="75"/>
      <c r="E29" s="76"/>
      <c r="F29" s="40">
        <f>SUM(F4:F28)</f>
        <v>259889.3</v>
      </c>
    </row>
  </sheetData>
  <mergeCells count="15">
    <mergeCell ref="A1:F1"/>
    <mergeCell ref="B3:F3"/>
    <mergeCell ref="B21:F21"/>
    <mergeCell ref="B23:F23"/>
    <mergeCell ref="B25:F25"/>
    <mergeCell ref="C29:E29"/>
    <mergeCell ref="B5:F5"/>
    <mergeCell ref="B7:F7"/>
    <mergeCell ref="B9:F9"/>
    <mergeCell ref="B11:F11"/>
    <mergeCell ref="B13:F13"/>
    <mergeCell ref="B15:F15"/>
    <mergeCell ref="B17:F17"/>
    <mergeCell ref="B19:F19"/>
    <mergeCell ref="B27:F27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95</v>
      </c>
      <c r="C3" s="54" t="s">
        <v>129</v>
      </c>
      <c r="D3" s="57">
        <v>3361</v>
      </c>
      <c r="E3" s="60">
        <f>IF(C20&lt;=25%,D20,MIN(E20:F20))</f>
        <v>7.76</v>
      </c>
      <c r="F3" s="60">
        <f>MIN(H3:H17)</f>
        <v>6.9989999999999997</v>
      </c>
      <c r="G3" s="5" t="s">
        <v>179</v>
      </c>
      <c r="H3" s="14">
        <f>705.93/100</f>
        <v>7.0592999999999995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130</v>
      </c>
      <c r="H4" s="14">
        <f>699.9/100</f>
        <v>6.9989999999999997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 t="s">
        <v>131</v>
      </c>
      <c r="H5" s="14">
        <v>8.2899999999999991</v>
      </c>
      <c r="I5" s="30" t="str">
        <f t="shared" si="0"/>
        <v>N/A</v>
      </c>
    </row>
    <row r="6" spans="1:9">
      <c r="A6" s="50"/>
      <c r="B6" s="52"/>
      <c r="C6" s="55"/>
      <c r="D6" s="58"/>
      <c r="E6" s="61"/>
      <c r="F6" s="61"/>
      <c r="G6" s="5" t="s">
        <v>132</v>
      </c>
      <c r="H6" s="14">
        <v>8.15</v>
      </c>
      <c r="I6" s="30" t="str">
        <f t="shared" si="0"/>
        <v>N/A</v>
      </c>
    </row>
    <row r="7" spans="1:9">
      <c r="A7" s="50"/>
      <c r="B7" s="52"/>
      <c r="C7" s="55"/>
      <c r="D7" s="58"/>
      <c r="E7" s="61"/>
      <c r="F7" s="61"/>
      <c r="G7" s="5" t="s">
        <v>133</v>
      </c>
      <c r="H7" s="14">
        <f>828.89/100</f>
        <v>8.2888999999999999</v>
      </c>
      <c r="I7" s="30" t="str">
        <f t="shared" si="0"/>
        <v>N/A</v>
      </c>
    </row>
    <row r="8" spans="1:9">
      <c r="A8" s="50"/>
      <c r="B8" s="52"/>
      <c r="C8" s="55"/>
      <c r="D8" s="58"/>
      <c r="E8" s="61"/>
      <c r="F8" s="61"/>
      <c r="G8" s="5" t="s">
        <v>134</v>
      </c>
      <c r="H8" s="14">
        <v>7.77</v>
      </c>
      <c r="I8" s="30" t="str">
        <f t="shared" si="0"/>
        <v>N/A</v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0.59714912598668923</v>
      </c>
      <c r="B20" s="20">
        <f>COUNT(H3:H17)</f>
        <v>6</v>
      </c>
      <c r="C20" s="21">
        <f>IF(B20&lt;2,"N/A",(A20/D20))</f>
        <v>7.6952206957047589E-2</v>
      </c>
      <c r="D20" s="22">
        <f>ROUND(AVERAGE(H3:H17),2)</f>
        <v>7.76</v>
      </c>
      <c r="E20" s="23" t="str">
        <f>IFERROR(ROUND(IF(B20&lt;2,"N/A",(IF(C20&lt;=25%,"N/A",AVERAGE(I3:I17)))),2),"N/A")</f>
        <v>N/A</v>
      </c>
      <c r="F20" s="23">
        <f>ROUND(MEDIAN(H3:H17),2)</f>
        <v>7.96</v>
      </c>
      <c r="G20" s="24" t="str">
        <f>INDEX(G3:G17,MATCH(H20,H3:H17,0))</f>
        <v>Cordeiro</v>
      </c>
      <c r="H20" s="25">
        <f>MIN(H3:H17)</f>
        <v>6.9989999999999997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7.76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26081.360000000001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47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96</v>
      </c>
      <c r="C3" s="54" t="s">
        <v>135</v>
      </c>
      <c r="D3" s="72">
        <v>726</v>
      </c>
      <c r="E3" s="60">
        <f>IF(C20&lt;=25%,D20,MIN(E20:F20))</f>
        <v>4.12</v>
      </c>
      <c r="F3" s="60">
        <f>MIN(H3:H17)</f>
        <v>2.97</v>
      </c>
      <c r="G3" s="5" t="s">
        <v>136</v>
      </c>
      <c r="H3" s="14">
        <v>4.6399999999999997</v>
      </c>
      <c r="I3" s="30" t="str">
        <f>IF(H3="","",(IF($C$20&lt;25%,"N/A",IF(H3&lt;=($D$20+$A$20),H3,"Descartado"))))</f>
        <v>N/A</v>
      </c>
    </row>
    <row r="4" spans="1:9">
      <c r="A4" s="50"/>
      <c r="B4" s="52"/>
      <c r="C4" s="55"/>
      <c r="D4" s="58"/>
      <c r="E4" s="61"/>
      <c r="F4" s="61"/>
      <c r="G4" s="5" t="s">
        <v>137</v>
      </c>
      <c r="H4" s="14">
        <v>3.69</v>
      </c>
      <c r="I4" s="30" t="str">
        <f t="shared" ref="I4:I17" si="0">IF(H4="","",(IF($C$20&lt;25%,"N/A",IF(H4&lt;=($D$20+$A$20),H4,"Descartado"))))</f>
        <v>N/A</v>
      </c>
    </row>
    <row r="5" spans="1:9">
      <c r="A5" s="50"/>
      <c r="B5" s="52"/>
      <c r="C5" s="55"/>
      <c r="D5" s="58"/>
      <c r="E5" s="61"/>
      <c r="F5" s="61"/>
      <c r="G5" s="5" t="s">
        <v>138</v>
      </c>
      <c r="H5" s="14">
        <v>2.97</v>
      </c>
      <c r="I5" s="30" t="str">
        <f t="shared" si="0"/>
        <v>N/A</v>
      </c>
    </row>
    <row r="6" spans="1:9">
      <c r="A6" s="50"/>
      <c r="B6" s="52"/>
      <c r="C6" s="55"/>
      <c r="D6" s="58"/>
      <c r="E6" s="61"/>
      <c r="F6" s="61"/>
      <c r="G6" s="5" t="s">
        <v>139</v>
      </c>
      <c r="H6" s="14">
        <f>502.11/100</f>
        <v>5.0211000000000006</v>
      </c>
      <c r="I6" s="30" t="str">
        <f t="shared" si="0"/>
        <v>N/A</v>
      </c>
    </row>
    <row r="7" spans="1:9">
      <c r="A7" s="50"/>
      <c r="B7" s="52"/>
      <c r="C7" s="55"/>
      <c r="D7" s="58"/>
      <c r="E7" s="61"/>
      <c r="F7" s="61"/>
      <c r="G7" s="5" t="s">
        <v>140</v>
      </c>
      <c r="H7" s="14">
        <v>3.81</v>
      </c>
      <c r="I7" s="30" t="str">
        <f t="shared" si="0"/>
        <v>N/A</v>
      </c>
    </row>
    <row r="8" spans="1:9">
      <c r="A8" s="50"/>
      <c r="B8" s="52"/>
      <c r="C8" s="55"/>
      <c r="D8" s="58"/>
      <c r="E8" s="61"/>
      <c r="F8" s="61"/>
      <c r="G8" s="5" t="s">
        <v>141</v>
      </c>
      <c r="H8" s="14">
        <v>5.52</v>
      </c>
      <c r="I8" s="30" t="str">
        <f t="shared" si="0"/>
        <v>N/A</v>
      </c>
    </row>
    <row r="9" spans="1:9">
      <c r="A9" s="50"/>
      <c r="B9" s="52"/>
      <c r="C9" s="55"/>
      <c r="D9" s="58"/>
      <c r="E9" s="61"/>
      <c r="F9" s="61"/>
      <c r="G9" s="5" t="s">
        <v>142</v>
      </c>
      <c r="H9" s="14">
        <v>3.2</v>
      </c>
      <c r="I9" s="30" t="str">
        <f t="shared" si="0"/>
        <v>N/A</v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0.95675350435482553</v>
      </c>
      <c r="B20" s="20">
        <f>COUNT(H3:H17)</f>
        <v>7</v>
      </c>
      <c r="C20" s="21">
        <f>IF(B20&lt;2,"N/A",(A20/D20))</f>
        <v>0.23222172435796737</v>
      </c>
      <c r="D20" s="22">
        <f>ROUND(AVERAGE(H3:H17),2)</f>
        <v>4.12</v>
      </c>
      <c r="E20" s="23" t="str">
        <f>IFERROR(ROUND(IF(B20&lt;2,"N/A",(IF(C20&lt;=25%,"N/A",AVERAGE(I3:I17)))),2),"N/A")</f>
        <v>N/A</v>
      </c>
      <c r="F20" s="23">
        <f>ROUND(MEDIAN(H3:H17),2)</f>
        <v>3.81</v>
      </c>
      <c r="G20" s="24" t="str">
        <f>INDEX(G3:G17,MATCH(H20,H3:H17,0))</f>
        <v>GH Elétrica</v>
      </c>
      <c r="H20" s="25">
        <f>MIN(H3:H17)</f>
        <v>2.97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4.12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2991.12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8" sqref="H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97</v>
      </c>
      <c r="C3" s="54" t="s">
        <v>8</v>
      </c>
      <c r="D3" s="57">
        <v>1984</v>
      </c>
      <c r="E3" s="60">
        <f>IF(C20&lt;=25%,D20,MIN(E20:F20))</f>
        <v>14.25</v>
      </c>
      <c r="F3" s="60">
        <f>MIN(H3:H17)</f>
        <v>7.15</v>
      </c>
      <c r="G3" s="5" t="s">
        <v>144</v>
      </c>
      <c r="H3" s="14">
        <f>3.59+7.9</f>
        <v>11.49</v>
      </c>
      <c r="I3" s="30">
        <f>IF(H3="","",(IF($C$20&lt;25%,"N/A",IF(H3&lt;=($D$20+$A$20),H3,"Descartado"))))</f>
        <v>11.49</v>
      </c>
    </row>
    <row r="4" spans="1:9">
      <c r="A4" s="50"/>
      <c r="B4" s="52"/>
      <c r="C4" s="55"/>
      <c r="D4" s="58"/>
      <c r="E4" s="61"/>
      <c r="F4" s="61"/>
      <c r="G4" s="5" t="s">
        <v>143</v>
      </c>
      <c r="H4" s="14">
        <f>5.9+31.9</f>
        <v>37.799999999999997</v>
      </c>
      <c r="I4" s="30" t="str">
        <f t="shared" ref="I4:I17" si="0">IF(H4="","",(IF($C$20&lt;25%,"N/A",IF(H4&lt;=($D$20+$A$20),H4,"Descartado"))))</f>
        <v>Descartado</v>
      </c>
    </row>
    <row r="5" spans="1:9">
      <c r="A5" s="50"/>
      <c r="B5" s="52"/>
      <c r="C5" s="55"/>
      <c r="D5" s="58"/>
      <c r="E5" s="61"/>
      <c r="F5" s="61"/>
      <c r="G5" s="5" t="s">
        <v>145</v>
      </c>
      <c r="H5" s="14">
        <f>9.9+7.9</f>
        <v>17.8</v>
      </c>
      <c r="I5" s="30">
        <f t="shared" si="0"/>
        <v>17.8</v>
      </c>
    </row>
    <row r="6" spans="1:9">
      <c r="A6" s="50"/>
      <c r="B6" s="52"/>
      <c r="C6" s="55"/>
      <c r="D6" s="58"/>
      <c r="E6" s="61"/>
      <c r="F6" s="61"/>
      <c r="G6" s="5" t="s">
        <v>146</v>
      </c>
      <c r="H6" s="14">
        <f>9.7+9.9</f>
        <v>19.600000000000001</v>
      </c>
      <c r="I6" s="30">
        <f t="shared" si="0"/>
        <v>19.600000000000001</v>
      </c>
    </row>
    <row r="7" spans="1:9">
      <c r="A7" s="50"/>
      <c r="B7" s="52"/>
      <c r="C7" s="55"/>
      <c r="D7" s="58"/>
      <c r="E7" s="61"/>
      <c r="F7" s="61"/>
      <c r="G7" s="5" t="s">
        <v>147</v>
      </c>
      <c r="H7" s="14">
        <f>8+7.2</f>
        <v>15.2</v>
      </c>
      <c r="I7" s="30">
        <f t="shared" si="0"/>
        <v>15.2</v>
      </c>
    </row>
    <row r="8" spans="1:9">
      <c r="A8" s="50"/>
      <c r="B8" s="52"/>
      <c r="C8" s="55"/>
      <c r="D8" s="58"/>
      <c r="E8" s="61"/>
      <c r="F8" s="61"/>
      <c r="G8" s="5" t="s">
        <v>106</v>
      </c>
      <c r="H8" s="14">
        <f>4.15+3</f>
        <v>7.15</v>
      </c>
      <c r="I8" s="30">
        <f t="shared" si="0"/>
        <v>7.15</v>
      </c>
    </row>
    <row r="9" spans="1:9">
      <c r="A9" s="50"/>
      <c r="B9" s="52"/>
      <c r="C9" s="55"/>
      <c r="D9" s="58"/>
      <c r="E9" s="61"/>
      <c r="F9" s="61"/>
      <c r="G9" s="5"/>
      <c r="H9" s="14"/>
      <c r="I9" s="30" t="str">
        <f t="shared" si="0"/>
        <v/>
      </c>
    </row>
    <row r="10" spans="1:9">
      <c r="A10" s="50"/>
      <c r="B10" s="52"/>
      <c r="C10" s="55"/>
      <c r="D10" s="58"/>
      <c r="E10" s="61"/>
      <c r="F10" s="61"/>
      <c r="G10" s="5"/>
      <c r="H10" s="14"/>
      <c r="I10" s="30" t="str">
        <f t="shared" si="0"/>
        <v/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10.605680867660812</v>
      </c>
      <c r="B20" s="20">
        <f>COUNT(H3:H17)</f>
        <v>6</v>
      </c>
      <c r="C20" s="21">
        <f>IF(B20&lt;2,"N/A",(A20/D20))</f>
        <v>0.58369184742216906</v>
      </c>
      <c r="D20" s="22">
        <f>ROUND(AVERAGE(H3:H17),2)</f>
        <v>18.170000000000002</v>
      </c>
      <c r="E20" s="23">
        <f>IFERROR(ROUND(IF(B20&lt;2,"N/A",(IF(C20&lt;=25%,"N/A",AVERAGE(I3:I17)))),2),"N/A")</f>
        <v>14.25</v>
      </c>
      <c r="F20" s="23">
        <f>ROUND(MEDIAN(H3:H17),2)</f>
        <v>16.5</v>
      </c>
      <c r="G20" s="24" t="str">
        <f>INDEX(G3:G17,MATCH(H20,H3:H17,0))</f>
        <v>Unicaserv</v>
      </c>
      <c r="H20" s="25">
        <f>MIN(H3:H17)</f>
        <v>7.15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14.25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28272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9" sqref="H9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47" t="s">
        <v>12</v>
      </c>
      <c r="B1" s="48"/>
      <c r="C1" s="48"/>
      <c r="D1" s="48"/>
      <c r="E1" s="48"/>
      <c r="F1" s="48"/>
      <c r="G1" s="48"/>
      <c r="H1" s="48"/>
      <c r="I1" s="49"/>
    </row>
    <row r="2" spans="1:9" ht="25.5">
      <c r="A2" s="50" t="s">
        <v>49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0"/>
      <c r="B3" s="51" t="s">
        <v>98</v>
      </c>
      <c r="C3" s="54" t="s">
        <v>8</v>
      </c>
      <c r="D3" s="72">
        <v>121</v>
      </c>
      <c r="E3" s="60">
        <f>IF(C20&lt;=25%,D20,MIN(E20:F20))</f>
        <v>12.5</v>
      </c>
      <c r="F3" s="60">
        <f>MIN(H3:H17)</f>
        <v>5.99</v>
      </c>
      <c r="G3" s="5" t="s">
        <v>172</v>
      </c>
      <c r="H3" s="14">
        <v>22.5</v>
      </c>
      <c r="I3" s="30">
        <f>IF(H3="","",(IF($C$20&lt;25%,"N/A",IF(H3&lt;=($D$20+$A$20),H3,"Descartado"))))</f>
        <v>22.5</v>
      </c>
    </row>
    <row r="4" spans="1:9">
      <c r="A4" s="50"/>
      <c r="B4" s="52"/>
      <c r="C4" s="55"/>
      <c r="D4" s="58"/>
      <c r="E4" s="61"/>
      <c r="F4" s="61"/>
      <c r="G4" s="5" t="s">
        <v>148</v>
      </c>
      <c r="H4" s="14">
        <v>5.99</v>
      </c>
      <c r="I4" s="30">
        <f t="shared" ref="I4:I17" si="0">IF(H4="","",(IF($C$20&lt;25%,"N/A",IF(H4&lt;=($D$20+$A$20),H4,"Descartado"))))</f>
        <v>5.99</v>
      </c>
    </row>
    <row r="5" spans="1:9">
      <c r="A5" s="50"/>
      <c r="B5" s="52"/>
      <c r="C5" s="55"/>
      <c r="D5" s="58"/>
      <c r="E5" s="61"/>
      <c r="F5" s="61"/>
      <c r="G5" s="5" t="s">
        <v>143</v>
      </c>
      <c r="H5" s="14">
        <v>27.9</v>
      </c>
      <c r="I5" s="30" t="str">
        <f t="shared" si="0"/>
        <v>Descartado</v>
      </c>
    </row>
    <row r="6" spans="1:9">
      <c r="A6" s="50"/>
      <c r="B6" s="52"/>
      <c r="C6" s="55"/>
      <c r="D6" s="58"/>
      <c r="E6" s="61"/>
      <c r="F6" s="61"/>
      <c r="G6" s="5" t="s">
        <v>173</v>
      </c>
      <c r="H6" s="14">
        <v>6.6</v>
      </c>
      <c r="I6" s="30">
        <f t="shared" si="0"/>
        <v>6.6</v>
      </c>
    </row>
    <row r="7" spans="1:9">
      <c r="A7" s="50"/>
      <c r="B7" s="52"/>
      <c r="C7" s="55"/>
      <c r="D7" s="58"/>
      <c r="E7" s="61"/>
      <c r="F7" s="61"/>
      <c r="G7" s="5" t="s">
        <v>174</v>
      </c>
      <c r="H7" s="14">
        <v>12.26</v>
      </c>
      <c r="I7" s="30">
        <f t="shared" si="0"/>
        <v>12.26</v>
      </c>
    </row>
    <row r="8" spans="1:9">
      <c r="A8" s="50"/>
      <c r="B8" s="52"/>
      <c r="C8" s="55"/>
      <c r="D8" s="58"/>
      <c r="E8" s="61"/>
      <c r="F8" s="61"/>
      <c r="G8" s="5" t="s">
        <v>175</v>
      </c>
      <c r="H8" s="14">
        <v>8.1999999999999993</v>
      </c>
      <c r="I8" s="30">
        <f t="shared" si="0"/>
        <v>8.1999999999999993</v>
      </c>
    </row>
    <row r="9" spans="1:9">
      <c r="A9" s="50"/>
      <c r="B9" s="52"/>
      <c r="C9" s="55"/>
      <c r="D9" s="58"/>
      <c r="E9" s="61"/>
      <c r="F9" s="61"/>
      <c r="G9" s="5" t="s">
        <v>142</v>
      </c>
      <c r="H9" s="14">
        <v>20.9</v>
      </c>
      <c r="I9" s="30">
        <f t="shared" si="0"/>
        <v>20.9</v>
      </c>
    </row>
    <row r="10" spans="1:9">
      <c r="A10" s="50"/>
      <c r="B10" s="52"/>
      <c r="C10" s="55"/>
      <c r="D10" s="58"/>
      <c r="E10" s="61"/>
      <c r="F10" s="61"/>
      <c r="G10" s="5" t="s">
        <v>176</v>
      </c>
      <c r="H10" s="14">
        <v>12.74</v>
      </c>
      <c r="I10" s="30">
        <f t="shared" si="0"/>
        <v>12.74</v>
      </c>
    </row>
    <row r="11" spans="1:9">
      <c r="A11" s="50"/>
      <c r="B11" s="52"/>
      <c r="C11" s="55"/>
      <c r="D11" s="58"/>
      <c r="E11" s="61"/>
      <c r="F11" s="61"/>
      <c r="G11" s="5"/>
      <c r="H11" s="14"/>
      <c r="I11" s="30" t="str">
        <f t="shared" si="0"/>
        <v/>
      </c>
    </row>
    <row r="12" spans="1:9">
      <c r="A12" s="50"/>
      <c r="B12" s="52"/>
      <c r="C12" s="55"/>
      <c r="D12" s="58"/>
      <c r="E12" s="61"/>
      <c r="F12" s="61"/>
      <c r="G12" s="5"/>
      <c r="H12" s="14"/>
      <c r="I12" s="30" t="str">
        <f t="shared" si="0"/>
        <v/>
      </c>
    </row>
    <row r="13" spans="1:9">
      <c r="A13" s="50"/>
      <c r="B13" s="52"/>
      <c r="C13" s="55"/>
      <c r="D13" s="58"/>
      <c r="E13" s="61"/>
      <c r="F13" s="61"/>
      <c r="G13" s="5"/>
      <c r="H13" s="14"/>
      <c r="I13" s="30" t="str">
        <f t="shared" si="0"/>
        <v/>
      </c>
    </row>
    <row r="14" spans="1:9">
      <c r="A14" s="50"/>
      <c r="B14" s="52"/>
      <c r="C14" s="55"/>
      <c r="D14" s="58"/>
      <c r="E14" s="61"/>
      <c r="F14" s="61"/>
      <c r="G14" s="5"/>
      <c r="H14" s="14"/>
      <c r="I14" s="30" t="str">
        <f t="shared" si="0"/>
        <v/>
      </c>
    </row>
    <row r="15" spans="1:9">
      <c r="A15" s="50"/>
      <c r="B15" s="52"/>
      <c r="C15" s="55"/>
      <c r="D15" s="58"/>
      <c r="E15" s="61"/>
      <c r="F15" s="61"/>
      <c r="G15" s="5"/>
      <c r="H15" s="14"/>
      <c r="I15" s="30" t="str">
        <f t="shared" si="0"/>
        <v/>
      </c>
    </row>
    <row r="16" spans="1:9">
      <c r="A16" s="50"/>
      <c r="B16" s="52"/>
      <c r="C16" s="55"/>
      <c r="D16" s="58"/>
      <c r="E16" s="61"/>
      <c r="F16" s="61"/>
      <c r="G16" s="5"/>
      <c r="H16" s="14"/>
      <c r="I16" s="30" t="str">
        <f t="shared" si="0"/>
        <v/>
      </c>
    </row>
    <row r="17" spans="1:11">
      <c r="A17" s="50"/>
      <c r="B17" s="53"/>
      <c r="C17" s="56"/>
      <c r="D17" s="59"/>
      <c r="E17" s="62"/>
      <c r="F17" s="6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40</v>
      </c>
      <c r="C19" s="16" t="s">
        <v>5</v>
      </c>
      <c r="D19" s="18" t="s">
        <v>6</v>
      </c>
      <c r="E19" s="19" t="s">
        <v>11</v>
      </c>
      <c r="F19" s="18" t="s">
        <v>7</v>
      </c>
      <c r="G19" s="69" t="s">
        <v>34</v>
      </c>
      <c r="H19" s="70"/>
      <c r="I19" s="32"/>
    </row>
    <row r="20" spans="1:11">
      <c r="A20" s="20">
        <f>IF(B20&lt;2,"N/A",(STDEV(H3:H17)))</f>
        <v>8.1679407048008699</v>
      </c>
      <c r="B20" s="20">
        <f>COUNT(H3:H17)</f>
        <v>8</v>
      </c>
      <c r="C20" s="21">
        <f>IF(B20&lt;2,"N/A",(A20/D20))</f>
        <v>0.55791944704923968</v>
      </c>
      <c r="D20" s="22">
        <f>ROUND(AVERAGE(H3:H17),2)</f>
        <v>14.64</v>
      </c>
      <c r="E20" s="23">
        <f>IFERROR(ROUND(IF(B20&lt;2,"N/A",(IF(C20&lt;=25%,"N/A",AVERAGE(I3:I17)))),2),"N/A")</f>
        <v>12.74</v>
      </c>
      <c r="F20" s="23">
        <f>ROUND(MEDIAN(H3:H17),2)</f>
        <v>12.5</v>
      </c>
      <c r="G20" s="24" t="str">
        <f>INDEX(G3:G17,MATCH(H20,H3:H17,0))</f>
        <v>Ferramentas Kenedy</v>
      </c>
      <c r="H20" s="25">
        <f>MIN(H3:H17)</f>
        <v>5.99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1"/>
      <c r="E22" s="71"/>
      <c r="F22" s="36"/>
      <c r="G22" s="26" t="s">
        <v>41</v>
      </c>
      <c r="H22" s="27">
        <f>IF(C20&lt;=25%,D20,MIN(E20:F20))</f>
        <v>12.5</v>
      </c>
    </row>
    <row r="23" spans="1:11">
      <c r="B23" s="33"/>
      <c r="C23" s="33"/>
      <c r="D23" s="71"/>
      <c r="E23" s="71"/>
      <c r="F23" s="37"/>
      <c r="G23" s="28" t="s">
        <v>9</v>
      </c>
      <c r="H23" s="29">
        <f>ROUND(H22,2)*D3</f>
        <v>1512.5</v>
      </c>
    </row>
    <row r="24" spans="1:11">
      <c r="B24" s="38"/>
      <c r="C24" s="38"/>
      <c r="D24" s="32"/>
      <c r="E24" s="32"/>
    </row>
    <row r="26" spans="1:11">
      <c r="A26" s="63" t="s">
        <v>25</v>
      </c>
      <c r="B26" s="64"/>
      <c r="C26" s="64"/>
      <c r="D26" s="64"/>
      <c r="E26" s="64"/>
      <c r="F26" s="64"/>
      <c r="G26" s="64"/>
      <c r="H26" s="64"/>
      <c r="I26" s="65"/>
    </row>
    <row r="27" spans="1:11" ht="12.75" customHeight="1">
      <c r="A27" s="63" t="s">
        <v>26</v>
      </c>
      <c r="B27" s="64"/>
      <c r="C27" s="64"/>
      <c r="D27" s="64"/>
      <c r="E27" s="64"/>
      <c r="F27" s="64"/>
      <c r="G27" s="64"/>
      <c r="H27" s="64"/>
      <c r="I27" s="65"/>
    </row>
    <row r="28" spans="1:11" ht="12.75" customHeight="1">
      <c r="A28" s="63" t="s">
        <v>27</v>
      </c>
      <c r="B28" s="64"/>
      <c r="C28" s="64"/>
      <c r="D28" s="64"/>
      <c r="E28" s="64"/>
      <c r="F28" s="64"/>
      <c r="G28" s="64"/>
      <c r="H28" s="64"/>
      <c r="I28" s="65"/>
    </row>
    <row r="29" spans="1:11">
      <c r="A29" s="63" t="s">
        <v>28</v>
      </c>
      <c r="B29" s="64"/>
      <c r="C29" s="64"/>
      <c r="D29" s="64"/>
      <c r="E29" s="64"/>
      <c r="F29" s="64"/>
      <c r="G29" s="64"/>
      <c r="H29" s="64"/>
      <c r="I29" s="65"/>
    </row>
    <row r="30" spans="1:11" ht="12.75" customHeight="1">
      <c r="A30" s="63" t="s">
        <v>29</v>
      </c>
      <c r="B30" s="64"/>
      <c r="C30" s="64"/>
      <c r="D30" s="64"/>
      <c r="E30" s="64"/>
      <c r="F30" s="64"/>
      <c r="G30" s="64"/>
      <c r="H30" s="64"/>
      <c r="I30" s="65"/>
    </row>
    <row r="31" spans="1:11" ht="12.75" customHeight="1">
      <c r="A31" s="63" t="s">
        <v>30</v>
      </c>
      <c r="B31" s="64"/>
      <c r="C31" s="64"/>
      <c r="D31" s="64"/>
      <c r="E31" s="64"/>
      <c r="F31" s="64"/>
      <c r="G31" s="64"/>
      <c r="H31" s="64"/>
      <c r="I31" s="65"/>
    </row>
    <row r="32" spans="1:11" ht="24.75" customHeight="1">
      <c r="A32" s="66" t="s">
        <v>31</v>
      </c>
      <c r="B32" s="67"/>
      <c r="C32" s="67"/>
      <c r="D32" s="67"/>
      <c r="E32" s="67"/>
      <c r="F32" s="67"/>
      <c r="G32" s="67"/>
      <c r="H32" s="67"/>
      <c r="I32" s="68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52</vt:i4>
      </vt:variant>
      <vt:variant>
        <vt:lpstr>Intervalos nomeados</vt:lpstr>
      </vt:variant>
      <vt:variant>
        <vt:i4>2</vt:i4>
      </vt:variant>
    </vt:vector>
  </HeadingPairs>
  <TitlesOfParts>
    <vt:vector size="5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Gilson Soares Da Conceicao</cp:lastModifiedBy>
  <cp:lastPrinted>2022-08-15T19:24:32Z</cp:lastPrinted>
  <dcterms:created xsi:type="dcterms:W3CDTF">2019-01-16T20:04:04Z</dcterms:created>
  <dcterms:modified xsi:type="dcterms:W3CDTF">2022-09-05T19:40:35Z</dcterms:modified>
</cp:coreProperties>
</file>